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80" windowHeight="12150" tabRatio="903" activeTab="4"/>
  </bookViews>
  <sheets>
    <sheet name="Intro" sheetId="1" r:id="rId1"/>
    <sheet name=".22 LR" sheetId="2" r:id="rId2"/>
    <sheet name="9x19mm" sheetId="3" r:id="rId3"/>
    <sheet name=".38 Special" sheetId="4" r:id="rId4"/>
    <sheet name=".357 Mag" sheetId="5" r:id="rId5"/>
    <sheet name=".357 Sig" sheetId="6" r:id="rId6"/>
    <sheet name=".40 S&amp;W" sheetId="7" r:id="rId7"/>
    <sheet name="10 mm" sheetId="8" r:id="rId8"/>
    <sheet name=".40 Super" sheetId="9" r:id="rId9"/>
    <sheet name=".41 Mag" sheetId="10" r:id="rId10"/>
    <sheet name=".44 Special" sheetId="11" r:id="rId11"/>
    <sheet name=".44 Mag" sheetId="12" r:id="rId12"/>
    <sheet name=".45 AUTO" sheetId="13" r:id="rId13"/>
    <sheet name=".45 GAP" sheetId="14" r:id="rId14"/>
    <sheet name=".50 AE" sheetId="15" r:id="rId15"/>
  </sheets>
  <definedNames/>
  <calcPr fullCalcOnLoad="1"/>
</workbook>
</file>

<file path=xl/sharedStrings.xml><?xml version="1.0" encoding="utf-8"?>
<sst xmlns="http://schemas.openxmlformats.org/spreadsheetml/2006/main" count="1098" uniqueCount="314">
  <si>
    <t>Style</t>
  </si>
  <si>
    <t>Power Factor</t>
  </si>
  <si>
    <t>Weight [grains]</t>
  </si>
  <si>
    <t>Velocity [ft/s]</t>
  </si>
  <si>
    <t>NRG      [ft-lbs]</t>
  </si>
  <si>
    <t>One-Shot Stop %</t>
  </si>
  <si>
    <t>Penetration [in]</t>
  </si>
  <si>
    <t>Load Number</t>
  </si>
  <si>
    <t>Federal</t>
  </si>
  <si>
    <t>P40HS1</t>
  </si>
  <si>
    <t>P40HS2</t>
  </si>
  <si>
    <t>P40HS3</t>
  </si>
  <si>
    <t>PD40CSP2H</t>
  </si>
  <si>
    <t>PD40HS4H</t>
  </si>
  <si>
    <t>C40SWA</t>
  </si>
  <si>
    <t>C40SWB</t>
  </si>
  <si>
    <t>HS JHP</t>
  </si>
  <si>
    <t>EFMJ</t>
  </si>
  <si>
    <t>JHP</t>
  </si>
  <si>
    <t>Conversion Table</t>
  </si>
  <si>
    <t>gr</t>
  </si>
  <si>
    <t>g</t>
  </si>
  <si>
    <t>f/t</t>
  </si>
  <si>
    <t>m/s</t>
  </si>
  <si>
    <t>a</t>
  </si>
  <si>
    <t>ft/s</t>
  </si>
  <si>
    <t>FMJ</t>
  </si>
  <si>
    <t>Winchester</t>
  </si>
  <si>
    <t>Slug</t>
  </si>
  <si>
    <t>Manu.</t>
  </si>
  <si>
    <t>ST HP</t>
  </si>
  <si>
    <t>X40SWSTHP</t>
  </si>
  <si>
    <t>USA40JHP</t>
  </si>
  <si>
    <t>Q4238</t>
  </si>
  <si>
    <t>T-Series (HP)</t>
  </si>
  <si>
    <t>S40</t>
  </si>
  <si>
    <t>S401</t>
  </si>
  <si>
    <t>CCI - Blazer</t>
  </si>
  <si>
    <t>CCI - Speer</t>
  </si>
  <si>
    <t>GD HP</t>
  </si>
  <si>
    <t>Cor-Bon</t>
  </si>
  <si>
    <t>SD40135</t>
  </si>
  <si>
    <t>SD40150</t>
  </si>
  <si>
    <t>SD40165</t>
  </si>
  <si>
    <t>Remington</t>
  </si>
  <si>
    <t>R40SW1</t>
  </si>
  <si>
    <t>GS40SWA</t>
  </si>
  <si>
    <t>R40SW2</t>
  </si>
  <si>
    <t>GS40SWB</t>
  </si>
  <si>
    <t>L40SW2</t>
  </si>
  <si>
    <t>GS BJHP</t>
  </si>
  <si>
    <t>PMC</t>
  </si>
  <si>
    <t>40B</t>
  </si>
  <si>
    <t>40D</t>
  </si>
  <si>
    <t>40SFA</t>
  </si>
  <si>
    <t>40SFB</t>
  </si>
  <si>
    <t>SF HP</t>
  </si>
  <si>
    <t>Triton</t>
  </si>
  <si>
    <t>TR40QSA</t>
  </si>
  <si>
    <t>TR40QSB</t>
  </si>
  <si>
    <t>QS HP</t>
  </si>
  <si>
    <t>.40 S &amp; W Loads from major manufacturers</t>
  </si>
  <si>
    <t>.45 AUTO Loads from major manufacturers</t>
  </si>
  <si>
    <t>P45HS1</t>
  </si>
  <si>
    <t>PD45CSP2H</t>
  </si>
  <si>
    <t>PD45HS3H</t>
  </si>
  <si>
    <t>C45C</t>
  </si>
  <si>
    <t>C45D</t>
  </si>
  <si>
    <t>GD BJHP</t>
  </si>
  <si>
    <t>GS BJHP +P</t>
  </si>
  <si>
    <t>R45AP2</t>
  </si>
  <si>
    <t>GS45APA</t>
  </si>
  <si>
    <t>GS45APC</t>
  </si>
  <si>
    <t>GS45APB</t>
  </si>
  <si>
    <t>L45AP7</t>
  </si>
  <si>
    <t>S45</t>
  </si>
  <si>
    <t>USA45JHP</t>
  </si>
  <si>
    <t>X45ASHP2</t>
  </si>
  <si>
    <t>JHP +P</t>
  </si>
  <si>
    <t>-</t>
  </si>
  <si>
    <t>45A</t>
  </si>
  <si>
    <t>45B</t>
  </si>
  <si>
    <t>45SFA</t>
  </si>
  <si>
    <t>TR45QSA</t>
  </si>
  <si>
    <t>TR45QSB</t>
  </si>
  <si>
    <t>9x19mm (Luger, Parabellum) Loads from major manufacturers</t>
  </si>
  <si>
    <t>P9HS1</t>
  </si>
  <si>
    <t>P9HS2</t>
  </si>
  <si>
    <t>PD9CSP2H</t>
  </si>
  <si>
    <t>PD9HS5H</t>
  </si>
  <si>
    <t>C9BP</t>
  </si>
  <si>
    <t>C9MS</t>
  </si>
  <si>
    <t>BJHP</t>
  </si>
  <si>
    <t>R9MM1</t>
  </si>
  <si>
    <t>R9MM6</t>
  </si>
  <si>
    <t>L9MM1</t>
  </si>
  <si>
    <t>GS9MMB</t>
  </si>
  <si>
    <t>GS9MMD</t>
  </si>
  <si>
    <t>GS9MMC</t>
  </si>
  <si>
    <t>USA9JHP</t>
  </si>
  <si>
    <t>USA9JHP2</t>
  </si>
  <si>
    <t>X9MMSHP</t>
  </si>
  <si>
    <t>X9MMST147</t>
  </si>
  <si>
    <t>GD HP +P</t>
  </si>
  <si>
    <t>SD09115</t>
  </si>
  <si>
    <t>SD0990</t>
  </si>
  <si>
    <t>SD09125</t>
  </si>
  <si>
    <t>9B</t>
  </si>
  <si>
    <t>9SFB</t>
  </si>
  <si>
    <t>9SFF</t>
  </si>
  <si>
    <t>9SFL</t>
  </si>
  <si>
    <t>TR9QSA</t>
  </si>
  <si>
    <t>TR9QSB</t>
  </si>
  <si>
    <t>QS HP +P</t>
  </si>
  <si>
    <t>JHP +P+</t>
  </si>
  <si>
    <t>HS JHP +P+</t>
  </si>
  <si>
    <t>.357 Sig Loads from major manufacturers</t>
  </si>
  <si>
    <t>P357S1</t>
  </si>
  <si>
    <t>R357S1</t>
  </si>
  <si>
    <t>L357S2</t>
  </si>
  <si>
    <t>Q4309</t>
  </si>
  <si>
    <t>USA357SJHP</t>
  </si>
  <si>
    <t>SD357SIG115</t>
  </si>
  <si>
    <t>SD357SIG125</t>
  </si>
  <si>
    <t>357Sig-SFB</t>
  </si>
  <si>
    <t>TR357SQSA</t>
  </si>
  <si>
    <t>TR357SQSB</t>
  </si>
  <si>
    <t>Glossary</t>
  </si>
  <si>
    <t>GD</t>
  </si>
  <si>
    <t>HS</t>
  </si>
  <si>
    <t>Jacketed Hallowpoint</t>
  </si>
  <si>
    <t>Expanding Full Metal Jacket</t>
  </si>
  <si>
    <t>+P</t>
  </si>
  <si>
    <t>Increaded pressure round</t>
  </si>
  <si>
    <t>+P+</t>
  </si>
  <si>
    <t>More increased pressure then +P</t>
  </si>
  <si>
    <t>GS</t>
  </si>
  <si>
    <t>Gold Sabre: a Remington line</t>
  </si>
  <si>
    <t>ST</t>
  </si>
  <si>
    <t>Silver Tip: A Winchester round with a very distinguished history</t>
  </si>
  <si>
    <t>Hydra - Shok : a Federal line, indentified by the metal post through the middle</t>
  </si>
  <si>
    <t>SF</t>
  </si>
  <si>
    <t>StarFire: owned by PMC</t>
  </si>
  <si>
    <t>QS</t>
  </si>
  <si>
    <t>Quick-Shok: a Triton line, half HP half frag round, very destructive</t>
  </si>
  <si>
    <t>Brass JHP: Typically a Gold Sabre round</t>
  </si>
  <si>
    <t>1) Shot placement</t>
  </si>
  <si>
    <t>Three Tiers of Stopping Power</t>
  </si>
  <si>
    <t>2) Bullet selection</t>
  </si>
  <si>
    <t>3) Caliber selection</t>
  </si>
  <si>
    <t>Stopping power can be approximated by the energy transferred to the target, therefore muzzle energy is a good first approximation.</t>
  </si>
  <si>
    <t>Other factors include destroyed tisse volume and stretched tissue volume as well as organ and CNS hits.</t>
  </si>
  <si>
    <t>Penetration is usually inversely related to stopping power.  Police loads may require penetration or medium energy release rates.</t>
  </si>
  <si>
    <t>All One-Shot Stop and most penetration data was taken from Stopping Power, Evan Marchall and Edwin Sanow; Paladin Press 2001</t>
  </si>
  <si>
    <t>Magtech</t>
  </si>
  <si>
    <t>GG40AG</t>
  </si>
  <si>
    <t>G40B</t>
  </si>
  <si>
    <t>GG45A</t>
  </si>
  <si>
    <t>GG45B</t>
  </si>
  <si>
    <t>GG9A</t>
  </si>
  <si>
    <t>GG9B</t>
  </si>
  <si>
    <t>HS PD JHP</t>
  </si>
  <si>
    <t>RBCD</t>
  </si>
  <si>
    <t>TFSP</t>
  </si>
  <si>
    <t>Total Fragmenting Soft Point</t>
  </si>
  <si>
    <t>PD</t>
  </si>
  <si>
    <t>Personal Defense: a Federal line</t>
  </si>
  <si>
    <t>Speer</t>
  </si>
  <si>
    <t>www.cci-ammunition.com</t>
  </si>
  <si>
    <t>CCI</t>
  </si>
  <si>
    <t>www.speer-bullets.com</t>
  </si>
  <si>
    <t>www.remington.com</t>
  </si>
  <si>
    <t>www.winchester.com</t>
  </si>
  <si>
    <t>www.federalcartridge.com</t>
  </si>
  <si>
    <t>www.rbcd.net</t>
  </si>
  <si>
    <t>www.corbon.com</t>
  </si>
  <si>
    <t>www.pmcammo.com</t>
  </si>
  <si>
    <t>www.impactsites2000.com/site3/triton.htm</t>
  </si>
  <si>
    <t>www.magtechammunition.com/html/home.html</t>
  </si>
  <si>
    <t>$/round</t>
  </si>
  <si>
    <t>~6" + frag = 9.5</t>
  </si>
  <si>
    <t>Hornady</t>
  </si>
  <si>
    <t>HP XTP</t>
  </si>
  <si>
    <t>HP XTP +P</t>
  </si>
  <si>
    <t>10 mm Loads from major manufacturers</t>
  </si>
  <si>
    <t>P10HS1</t>
  </si>
  <si>
    <t>C10C</t>
  </si>
  <si>
    <t>Remmington</t>
  </si>
  <si>
    <t>L10MM6</t>
  </si>
  <si>
    <t>MC</t>
  </si>
  <si>
    <t>X10MMSTHP</t>
  </si>
  <si>
    <t>10B</t>
  </si>
  <si>
    <t>SFHP</t>
  </si>
  <si>
    <t>10SFA</t>
  </si>
  <si>
    <t>SD10135</t>
  </si>
  <si>
    <t>SD10150</t>
  </si>
  <si>
    <t>SD10165</t>
  </si>
  <si>
    <t>TRlOQSA</t>
  </si>
  <si>
    <t>.40 Super Loads from major manufacturers</t>
  </si>
  <si>
    <t>manufacturer's website or from Marshall and Sanow's book (listed below).</t>
  </si>
  <si>
    <t>Please direct any questions to:</t>
  </si>
  <si>
    <t>Davis@TCLP.net</t>
  </si>
  <si>
    <t>Metal Case</t>
  </si>
  <si>
    <t>Reference:</t>
  </si>
  <si>
    <t>© 2005 TCLP</t>
  </si>
  <si>
    <t>Guide</t>
  </si>
  <si>
    <t>This number can be used when ordering</t>
  </si>
  <si>
    <t>Bullet type and round brand</t>
  </si>
  <si>
    <t>One-Shot stop %</t>
  </si>
  <si>
    <r>
      <t xml:space="preserve">Usually this is the fuller index number.  If availible it will be replaced with actual street results from </t>
    </r>
    <r>
      <rPr>
        <u val="single"/>
        <sz val="10"/>
        <rFont val="Arial"/>
        <family val="2"/>
      </rPr>
      <t>Stopping Power</t>
    </r>
  </si>
  <si>
    <t>Penetration</t>
  </si>
  <si>
    <t>An estimate of recoil for comparison between rounds (reliable within a caliber and somewhat between calibers)</t>
  </si>
  <si>
    <t>Approximate unit price from the price on the manufacturer's website or if that cannot be found the best price I can find</t>
  </si>
  <si>
    <t>Momentum has little to with stopping power.  Momentum primarily determines recoil.</t>
  </si>
  <si>
    <r>
      <t>Disclaimer:</t>
    </r>
    <r>
      <rPr>
        <sz val="10"/>
        <rFont val="Arial"/>
        <family val="0"/>
      </rPr>
      <t xml:space="preserve">  This is ment as a guideline for choosing an adequate defensive load.  All information is taken either from the respective</t>
    </r>
  </si>
  <si>
    <t>Target Rounds</t>
  </si>
  <si>
    <t>CCI-Independence</t>
  </si>
  <si>
    <t>TKO</t>
  </si>
  <si>
    <t>Depth of penetration in 10% ballistic gelatin.  8-10 is considered optimal for defense, around 12 for tactical</t>
  </si>
  <si>
    <t>.50 Action Express Loads from major manufacturers</t>
  </si>
  <si>
    <t>Magnum</t>
  </si>
  <si>
    <t>JSP</t>
  </si>
  <si>
    <t>DEP50JSP350B</t>
  </si>
  <si>
    <t>6 inch test barrel</t>
  </si>
  <si>
    <t>DEP50JHP300B</t>
  </si>
  <si>
    <t>Samson (IMI)</t>
  </si>
  <si>
    <t>DEP50JSP300</t>
  </si>
  <si>
    <t>DEP50JHP300</t>
  </si>
  <si>
    <t>.44 Magnum Loads from major manufacturers</t>
  </si>
  <si>
    <t>P44HS1</t>
  </si>
  <si>
    <t>C44B</t>
  </si>
  <si>
    <t>SJHP</t>
  </si>
  <si>
    <t>SP</t>
  </si>
  <si>
    <t>R44MG5</t>
  </si>
  <si>
    <t>L44MG7</t>
  </si>
  <si>
    <t>R44MG2</t>
  </si>
  <si>
    <t>R44MG3</t>
  </si>
  <si>
    <t>Partition Gold (HP)</t>
  </si>
  <si>
    <t>PT HP</t>
  </si>
  <si>
    <t>Q4240</t>
  </si>
  <si>
    <t>S44MP</t>
  </si>
  <si>
    <t>S44PTHP</t>
  </si>
  <si>
    <t>HSP</t>
  </si>
  <si>
    <t>X44MHSP2</t>
  </si>
  <si>
    <t>X44MS</t>
  </si>
  <si>
    <t>GD SP</t>
  </si>
  <si>
    <t>TC SP</t>
  </si>
  <si>
    <t>44B</t>
  </si>
  <si>
    <t>44C</t>
  </si>
  <si>
    <t>44D</t>
  </si>
  <si>
    <t>44SFA</t>
  </si>
  <si>
    <t>SD44M165</t>
  </si>
  <si>
    <t>BCHP</t>
  </si>
  <si>
    <t>BCSWP</t>
  </si>
  <si>
    <t>FPPN</t>
  </si>
  <si>
    <t>HC</t>
  </si>
  <si>
    <t>TR44QSA</t>
  </si>
  <si>
    <t>TR44QSB</t>
  </si>
  <si>
    <t>4 inch test barrel</t>
  </si>
  <si>
    <t>BC</t>
  </si>
  <si>
    <t>.357 Mag Loads from major manufacturers</t>
  </si>
  <si>
    <t>.38 Special Loads from major manufacturers</t>
  </si>
  <si>
    <t>.41 Magnum Loads from major manufacturers</t>
  </si>
  <si>
    <t>CC</t>
  </si>
  <si>
    <t>SW HP</t>
  </si>
  <si>
    <t>.44 S&amp;W Special Loads from major manufacturers</t>
  </si>
  <si>
    <t>6.5 inch test barrel</t>
  </si>
  <si>
    <t>24 inch test barrel</t>
  </si>
  <si>
    <t>CP HP</t>
  </si>
  <si>
    <t>Solid</t>
  </si>
  <si>
    <t>CP Solid</t>
  </si>
  <si>
    <t>.22 LR Loads from major manufacturers</t>
  </si>
  <si>
    <t>FNEB</t>
  </si>
  <si>
    <t>SW</t>
  </si>
  <si>
    <t>LRN</t>
  </si>
  <si>
    <t>6-6.5 inch test barrel</t>
  </si>
  <si>
    <t>SubSonic</t>
  </si>
  <si>
    <t>HP</t>
  </si>
  <si>
    <t>Target</t>
  </si>
  <si>
    <t>HV Golden</t>
  </si>
  <si>
    <t>PHP</t>
  </si>
  <si>
    <t>PLRN</t>
  </si>
  <si>
    <t>Hyper V</t>
  </si>
  <si>
    <t>TCS</t>
  </si>
  <si>
    <t>TCHP</t>
  </si>
  <si>
    <t>Hi-Speed</t>
  </si>
  <si>
    <t>SJHP +P</t>
  </si>
  <si>
    <t>BJHP +P</t>
  </si>
  <si>
    <t>5 inch test barrel</t>
  </si>
  <si>
    <t>TMJ</t>
  </si>
  <si>
    <t>.45 GAP Loads from major manufacturers</t>
  </si>
  <si>
    <t>ST JHP</t>
  </si>
  <si>
    <t>ST JHP +P</t>
  </si>
  <si>
    <t>PG HP</t>
  </si>
  <si>
    <t>BEB</t>
  </si>
  <si>
    <t>PP LHP</t>
  </si>
  <si>
    <t>LHP</t>
  </si>
  <si>
    <t>LRN SV</t>
  </si>
  <si>
    <t>UC HP</t>
  </si>
  <si>
    <t>I strongly recommend anyone interested in the topic to buy this book.  It has valuble data for both personal defense and police purposes.</t>
  </si>
  <si>
    <t>M</t>
  </si>
  <si>
    <t>Taylor Kockout Factor</t>
  </si>
  <si>
    <t>Mach Number</t>
  </si>
  <si>
    <t>Ballistic Coeffient (Drag Coefficient)</t>
  </si>
  <si>
    <t>Taylor's take on stopping power.  This was designed for hunting and should only be used as a guide in defensive loads.</t>
  </si>
  <si>
    <t>Displayed to show if a round is in the transonic range</t>
  </si>
  <si>
    <t>Silver Bear</t>
  </si>
  <si>
    <t>Norinco</t>
  </si>
  <si>
    <t>S&amp;B</t>
  </si>
  <si>
    <t>UMC</t>
  </si>
  <si>
    <t>Gold Dot: a Speer line (CCI)</t>
  </si>
  <si>
    <t>Golden Bullet</t>
  </si>
  <si>
    <t>LRNHP</t>
  </si>
  <si>
    <t>USA40SWVP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</si>
</sst>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justify"/>
    </xf>
    <xf numFmtId="0" fontId="0" fillId="0" borderId="0" xfId="0" applyFont="1" applyAlignment="1">
      <alignment horizontal="left"/>
    </xf>
    <xf numFmtId="168" fontId="1" fillId="0" borderId="0" xfId="0" applyNumberFormat="1" applyFont="1" applyAlignment="1">
      <alignment horizontal="center" vertical="justify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quotePrefix="1">
      <alignment/>
    </xf>
    <xf numFmtId="0" fontId="3" fillId="0" borderId="0" xfId="20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justify"/>
    </xf>
    <xf numFmtId="168" fontId="0" fillId="0" borderId="0" xfId="0" applyNumberFormat="1" applyFont="1" applyAlignment="1">
      <alignment horizontal="right" vertical="justify"/>
    </xf>
    <xf numFmtId="169" fontId="0" fillId="0" borderId="0" xfId="0" applyNumberFormat="1" applyFont="1" applyAlignment="1">
      <alignment horizontal="right" vertical="center"/>
    </xf>
    <xf numFmtId="170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i-ammunition.com/" TargetMode="External" /><Relationship Id="rId2" Type="http://schemas.openxmlformats.org/officeDocument/2006/relationships/hyperlink" Target="http://www.speer-bullets.com/" TargetMode="External" /><Relationship Id="rId3" Type="http://schemas.openxmlformats.org/officeDocument/2006/relationships/hyperlink" Target="http://www.remington.com/" TargetMode="External" /><Relationship Id="rId4" Type="http://schemas.openxmlformats.org/officeDocument/2006/relationships/hyperlink" Target="http://www.winchester.com/" TargetMode="External" /><Relationship Id="rId5" Type="http://schemas.openxmlformats.org/officeDocument/2006/relationships/hyperlink" Target="http://www.federalcartridge.com/" TargetMode="External" /><Relationship Id="rId6" Type="http://schemas.openxmlformats.org/officeDocument/2006/relationships/hyperlink" Target="http://www.rbcd.net/" TargetMode="External" /><Relationship Id="rId7" Type="http://schemas.openxmlformats.org/officeDocument/2006/relationships/hyperlink" Target="http://www.corbon.com/" TargetMode="External" /><Relationship Id="rId8" Type="http://schemas.openxmlformats.org/officeDocument/2006/relationships/hyperlink" Target="http://www.pmcammo.com/" TargetMode="External" /><Relationship Id="rId9" Type="http://schemas.openxmlformats.org/officeDocument/2006/relationships/hyperlink" Target="http://www.impactsites2000.com/site3/triton.htm" TargetMode="External" /><Relationship Id="rId10" Type="http://schemas.openxmlformats.org/officeDocument/2006/relationships/hyperlink" Target="http://www.magtechammunition.com/html/home.html" TargetMode="External" /><Relationship Id="rId11" Type="http://schemas.openxmlformats.org/officeDocument/2006/relationships/hyperlink" Target="mailto:Davis@TCLP.net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workbookViewId="0" topLeftCell="A1">
      <selection activeCell="B1" sqref="B1"/>
    </sheetView>
  </sheetViews>
  <sheetFormatPr defaultColWidth="9.140625" defaultRowHeight="12.75"/>
  <cols>
    <col min="2" max="2" width="15.140625" style="0" customWidth="1"/>
    <col min="3" max="3" width="7.8515625" style="0" customWidth="1"/>
    <col min="4" max="4" width="7.140625" style="0" customWidth="1"/>
  </cols>
  <sheetData>
    <row r="2" ht="12.75">
      <c r="B2" s="25" t="s">
        <v>214</v>
      </c>
    </row>
    <row r="3" ht="12.75">
      <c r="B3" t="s">
        <v>199</v>
      </c>
    </row>
    <row r="5" spans="2:5" ht="12.75">
      <c r="B5" t="s">
        <v>200</v>
      </c>
      <c r="E5" s="20" t="s">
        <v>201</v>
      </c>
    </row>
    <row r="7" ht="12.75">
      <c r="B7" s="4" t="s">
        <v>147</v>
      </c>
    </row>
    <row r="8" ht="12.75">
      <c r="B8" t="s">
        <v>146</v>
      </c>
    </row>
    <row r="9" ht="12.75">
      <c r="B9" t="s">
        <v>148</v>
      </c>
    </row>
    <row r="10" ht="12.75">
      <c r="B10" t="s">
        <v>149</v>
      </c>
    </row>
    <row r="12" ht="12.75">
      <c r="B12" t="s">
        <v>150</v>
      </c>
    </row>
    <row r="13" ht="12.75">
      <c r="B13" t="s">
        <v>151</v>
      </c>
    </row>
    <row r="15" ht="12.75">
      <c r="B15" t="s">
        <v>213</v>
      </c>
    </row>
    <row r="17" ht="12.75">
      <c r="B17" t="s">
        <v>152</v>
      </c>
    </row>
    <row r="19" ht="12.75">
      <c r="B19" t="s">
        <v>153</v>
      </c>
    </row>
    <row r="20" ht="12.75">
      <c r="B20" t="s">
        <v>299</v>
      </c>
    </row>
    <row r="22" ht="12.75">
      <c r="B22" s="24" t="s">
        <v>205</v>
      </c>
    </row>
    <row r="23" spans="2:3" ht="12.75">
      <c r="B23" t="s">
        <v>7</v>
      </c>
      <c r="C23" t="s">
        <v>206</v>
      </c>
    </row>
    <row r="24" spans="2:3" ht="12.75">
      <c r="B24" t="s">
        <v>0</v>
      </c>
      <c r="C24" t="s">
        <v>207</v>
      </c>
    </row>
    <row r="25" spans="2:3" ht="12.75">
      <c r="B25" t="s">
        <v>1</v>
      </c>
      <c r="C25" t="s">
        <v>211</v>
      </c>
    </row>
    <row r="26" spans="2:4" ht="12.75">
      <c r="B26" t="s">
        <v>301</v>
      </c>
      <c r="D26" t="s">
        <v>304</v>
      </c>
    </row>
    <row r="27" spans="2:3" ht="12.75">
      <c r="B27" t="s">
        <v>302</v>
      </c>
      <c r="C27" t="s">
        <v>305</v>
      </c>
    </row>
    <row r="28" ht="12.75">
      <c r="B28" t="s">
        <v>303</v>
      </c>
    </row>
    <row r="29" spans="2:3" ht="12.75">
      <c r="B29" t="s">
        <v>208</v>
      </c>
      <c r="C29" t="s">
        <v>209</v>
      </c>
    </row>
    <row r="30" spans="2:3" ht="12.75">
      <c r="B30" t="s">
        <v>210</v>
      </c>
      <c r="C30" t="s">
        <v>218</v>
      </c>
    </row>
    <row r="31" spans="2:3" ht="12.75">
      <c r="B31" t="s">
        <v>179</v>
      </c>
      <c r="C31" t="s">
        <v>212</v>
      </c>
    </row>
    <row r="33" ht="12.75">
      <c r="B33" s="24" t="s">
        <v>127</v>
      </c>
    </row>
    <row r="34" spans="2:3" ht="12.75">
      <c r="B34" t="s">
        <v>129</v>
      </c>
      <c r="C34" t="s">
        <v>140</v>
      </c>
    </row>
    <row r="35" spans="2:3" ht="12.75">
      <c r="B35" t="s">
        <v>18</v>
      </c>
      <c r="C35" t="s">
        <v>130</v>
      </c>
    </row>
    <row r="36" spans="2:3" ht="12.75">
      <c r="B36" t="s">
        <v>17</v>
      </c>
      <c r="C36" t="s">
        <v>131</v>
      </c>
    </row>
    <row r="37" spans="2:3" ht="12.75">
      <c r="B37" t="s">
        <v>189</v>
      </c>
      <c r="C37" t="s">
        <v>202</v>
      </c>
    </row>
    <row r="38" spans="2:3" ht="12.75">
      <c r="B38" s="19" t="s">
        <v>132</v>
      </c>
      <c r="C38" t="s">
        <v>133</v>
      </c>
    </row>
    <row r="39" spans="2:3" ht="12.75">
      <c r="B39" s="19" t="s">
        <v>134</v>
      </c>
      <c r="C39" t="s">
        <v>135</v>
      </c>
    </row>
    <row r="40" spans="2:3" ht="12.75">
      <c r="B40" t="s">
        <v>136</v>
      </c>
      <c r="C40" t="s">
        <v>137</v>
      </c>
    </row>
    <row r="41" spans="2:3" ht="12.75">
      <c r="B41" t="s">
        <v>138</v>
      </c>
      <c r="C41" t="s">
        <v>139</v>
      </c>
    </row>
    <row r="42" spans="2:3" ht="12.75">
      <c r="B42" t="s">
        <v>128</v>
      </c>
      <c r="C42" t="s">
        <v>310</v>
      </c>
    </row>
    <row r="43" spans="2:3" ht="12.75">
      <c r="B43" t="s">
        <v>141</v>
      </c>
      <c r="C43" t="s">
        <v>142</v>
      </c>
    </row>
    <row r="44" spans="2:3" ht="12.75">
      <c r="B44" t="s">
        <v>143</v>
      </c>
      <c r="C44" t="s">
        <v>144</v>
      </c>
    </row>
    <row r="45" spans="2:3" ht="12.75">
      <c r="B45" t="s">
        <v>92</v>
      </c>
      <c r="C45" t="s">
        <v>145</v>
      </c>
    </row>
    <row r="46" spans="2:3" ht="12.75">
      <c r="B46" t="s">
        <v>163</v>
      </c>
      <c r="C46" t="s">
        <v>164</v>
      </c>
    </row>
    <row r="47" spans="2:3" ht="12.75">
      <c r="B47" t="s">
        <v>165</v>
      </c>
      <c r="C47" t="s">
        <v>166</v>
      </c>
    </row>
    <row r="49" ht="12.75">
      <c r="B49" s="24" t="s">
        <v>203</v>
      </c>
    </row>
    <row r="50" spans="2:3" ht="12.75">
      <c r="B50" t="s">
        <v>8</v>
      </c>
      <c r="C50" s="20" t="s">
        <v>173</v>
      </c>
    </row>
    <row r="51" spans="2:3" ht="12.75">
      <c r="B51" t="s">
        <v>27</v>
      </c>
      <c r="C51" s="20" t="s">
        <v>172</v>
      </c>
    </row>
    <row r="52" spans="2:3" ht="12.75">
      <c r="B52" t="s">
        <v>44</v>
      </c>
      <c r="C52" s="20" t="s">
        <v>171</v>
      </c>
    </row>
    <row r="53" spans="2:3" ht="12.75">
      <c r="B53" t="s">
        <v>169</v>
      </c>
      <c r="C53" s="20" t="s">
        <v>168</v>
      </c>
    </row>
    <row r="54" spans="2:3" ht="12.75">
      <c r="B54" t="s">
        <v>167</v>
      </c>
      <c r="C54" s="20" t="s">
        <v>170</v>
      </c>
    </row>
    <row r="55" spans="2:3" ht="12.75">
      <c r="B55" t="s">
        <v>40</v>
      </c>
      <c r="C55" s="20" t="s">
        <v>175</v>
      </c>
    </row>
    <row r="56" spans="2:3" ht="12.75">
      <c r="B56" t="s">
        <v>51</v>
      </c>
      <c r="C56" s="20" t="s">
        <v>176</v>
      </c>
    </row>
    <row r="57" spans="2:3" ht="12.75">
      <c r="B57" t="s">
        <v>57</v>
      </c>
      <c r="C57" s="20" t="s">
        <v>177</v>
      </c>
    </row>
    <row r="58" spans="2:3" ht="12.75">
      <c r="B58" t="s">
        <v>154</v>
      </c>
      <c r="C58" s="20" t="s">
        <v>178</v>
      </c>
    </row>
    <row r="59" spans="2:3" ht="12.75">
      <c r="B59" t="s">
        <v>162</v>
      </c>
      <c r="C59" s="20" t="s">
        <v>174</v>
      </c>
    </row>
    <row r="61" ht="12.75">
      <c r="B61" t="s">
        <v>204</v>
      </c>
    </row>
  </sheetData>
  <hyperlinks>
    <hyperlink ref="C53" r:id="rId1" display="www.cci-ammunition.com"/>
    <hyperlink ref="C54" r:id="rId2" display="www.speer-bullets.com"/>
    <hyperlink ref="C52" r:id="rId3" display="www.remington.com"/>
    <hyperlink ref="C51" r:id="rId4" display="www.winchester.com"/>
    <hyperlink ref="C50" r:id="rId5" display="www.federalcartridge.com"/>
    <hyperlink ref="C59" r:id="rId6" display="www.rbcd.net"/>
    <hyperlink ref="C55" r:id="rId7" display="www.corbon.com"/>
    <hyperlink ref="C56" r:id="rId8" display="www.pmcammo.com"/>
    <hyperlink ref="C57" r:id="rId9" display="www.impactsites2000.com/site3/triton.htm"/>
    <hyperlink ref="C58" r:id="rId10" display="www.magtechammunition.com/html/home.html"/>
    <hyperlink ref="E5" r:id="rId11" display="Davis@TCLP.net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I3" sqref="I3"/>
    </sheetView>
  </sheetViews>
  <sheetFormatPr defaultColWidth="9.140625" defaultRowHeight="12.75"/>
  <sheetData>
    <row r="1" spans="1:17" ht="26.25">
      <c r="A1" s="41" t="s">
        <v>262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8"/>
      <c r="O1" s="28"/>
      <c r="P1" s="28"/>
      <c r="Q1" s="28"/>
    </row>
    <row r="2" spans="1:18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7" t="s">
        <v>259</v>
      </c>
      <c r="K2" s="3" t="s">
        <v>5</v>
      </c>
      <c r="L2" s="8" t="s">
        <v>6</v>
      </c>
      <c r="M2" s="23" t="s">
        <v>179</v>
      </c>
      <c r="N2" s="23"/>
      <c r="O2" s="4"/>
      <c r="P2" s="4"/>
      <c r="Q2" s="4"/>
      <c r="R2" s="4"/>
    </row>
    <row r="3" spans="1:16" ht="12.75">
      <c r="A3" t="s">
        <v>8</v>
      </c>
      <c r="B3" s="7"/>
      <c r="C3" s="1" t="s">
        <v>18</v>
      </c>
      <c r="D3">
        <v>150</v>
      </c>
      <c r="E3">
        <v>1300</v>
      </c>
      <c r="F3" s="5">
        <f aca="true" t="shared" si="0" ref="F3:F9">0.5*D3*$Q$8*E3*E3</f>
        <v>562.7873181603272</v>
      </c>
      <c r="G3" s="5">
        <f aca="true" t="shared" si="1" ref="G3:G9">D3*E3/1000</f>
        <v>195</v>
      </c>
      <c r="H3" s="9">
        <f aca="true" t="shared" si="2" ref="H3:H9">0.41*D3*E3/7000</f>
        <v>11.421428571428569</v>
      </c>
      <c r="I3" s="40">
        <f>E3/$Q$7</f>
        <v>1.1403508771929824</v>
      </c>
      <c r="J3" s="38">
        <v>0.132</v>
      </c>
      <c r="L3" s="9"/>
      <c r="M3" s="22"/>
      <c r="N3" s="22"/>
      <c r="P3" t="s">
        <v>19</v>
      </c>
    </row>
    <row r="4" spans="1:18" ht="12.75">
      <c r="A4" t="s">
        <v>8</v>
      </c>
      <c r="B4" s="7"/>
      <c r="C4" s="1" t="s">
        <v>263</v>
      </c>
      <c r="D4">
        <v>150</v>
      </c>
      <c r="E4">
        <v>1250</v>
      </c>
      <c r="F4" s="5">
        <f t="shared" si="0"/>
        <v>520.3285116127286</v>
      </c>
      <c r="G4" s="5">
        <f t="shared" si="1"/>
        <v>187.5</v>
      </c>
      <c r="H4" s="9">
        <f t="shared" si="2"/>
        <v>10.982142857142856</v>
      </c>
      <c r="I4" s="40">
        <f aca="true" t="shared" si="3" ref="I4:I9">E4/$Q$7</f>
        <v>1.0964912280701755</v>
      </c>
      <c r="J4" s="38">
        <v>0.218</v>
      </c>
      <c r="L4" s="9"/>
      <c r="M4" s="22"/>
      <c r="N4" s="22"/>
      <c r="P4" t="s">
        <v>20</v>
      </c>
      <c r="Q4">
        <v>0.0647989</v>
      </c>
      <c r="R4" t="s">
        <v>21</v>
      </c>
    </row>
    <row r="5" spans="1:18" ht="12.75">
      <c r="A5" t="s">
        <v>44</v>
      </c>
      <c r="C5" s="1" t="s">
        <v>232</v>
      </c>
      <c r="D5">
        <v>210</v>
      </c>
      <c r="E5">
        <v>1300</v>
      </c>
      <c r="F5" s="5">
        <f t="shared" si="0"/>
        <v>787.9022454244582</v>
      </c>
      <c r="G5" s="5">
        <f t="shared" si="1"/>
        <v>273</v>
      </c>
      <c r="H5" s="9">
        <f t="shared" si="2"/>
        <v>15.989999999999998</v>
      </c>
      <c r="I5" s="40">
        <f t="shared" si="3"/>
        <v>1.1403508771929824</v>
      </c>
      <c r="L5" s="9"/>
      <c r="M5" s="22"/>
      <c r="N5" s="22"/>
      <c r="P5" t="s">
        <v>22</v>
      </c>
      <c r="Q5">
        <v>0.3048</v>
      </c>
      <c r="R5" t="s">
        <v>23</v>
      </c>
    </row>
    <row r="6" spans="1:18" ht="12.75">
      <c r="A6" t="s">
        <v>27</v>
      </c>
      <c r="B6" s="7"/>
      <c r="C6" s="1" t="s">
        <v>238</v>
      </c>
      <c r="D6">
        <v>240</v>
      </c>
      <c r="E6">
        <v>1250</v>
      </c>
      <c r="F6" s="5">
        <f t="shared" si="0"/>
        <v>832.5256185803657</v>
      </c>
      <c r="G6" s="5">
        <f t="shared" si="1"/>
        <v>300</v>
      </c>
      <c r="H6" s="9">
        <f t="shared" si="2"/>
        <v>17.57142857142857</v>
      </c>
      <c r="I6" s="40">
        <f t="shared" si="3"/>
        <v>1.0964912280701755</v>
      </c>
      <c r="J6" s="38"/>
      <c r="L6" s="9"/>
      <c r="M6" s="22"/>
      <c r="N6" s="22"/>
      <c r="P6" t="s">
        <v>24</v>
      </c>
      <c r="Q6">
        <v>340</v>
      </c>
      <c r="R6" t="s">
        <v>23</v>
      </c>
    </row>
    <row r="7" spans="1:18" ht="12.75">
      <c r="A7" t="s">
        <v>27</v>
      </c>
      <c r="B7" s="7"/>
      <c r="C7" s="1" t="s">
        <v>30</v>
      </c>
      <c r="D7">
        <v>145</v>
      </c>
      <c r="E7">
        <v>1290</v>
      </c>
      <c r="F7" s="5">
        <f t="shared" si="0"/>
        <v>535.6902743267735</v>
      </c>
      <c r="G7" s="5">
        <f t="shared" si="1"/>
        <v>187.05</v>
      </c>
      <c r="H7" s="9">
        <f t="shared" si="2"/>
        <v>10.955785714285714</v>
      </c>
      <c r="I7" s="40">
        <f t="shared" si="3"/>
        <v>1.131578947368421</v>
      </c>
      <c r="J7" s="38"/>
      <c r="L7" s="9"/>
      <c r="M7" s="22"/>
      <c r="N7" s="22"/>
      <c r="Q7">
        <v>1140</v>
      </c>
      <c r="R7" t="s">
        <v>25</v>
      </c>
    </row>
    <row r="8" spans="1:18" ht="12.75">
      <c r="A8" t="s">
        <v>27</v>
      </c>
      <c r="B8" s="7"/>
      <c r="C8" s="1" t="s">
        <v>30</v>
      </c>
      <c r="D8">
        <v>175</v>
      </c>
      <c r="E8">
        <v>1250</v>
      </c>
      <c r="F8" s="5">
        <f t="shared" si="0"/>
        <v>607.04993021485</v>
      </c>
      <c r="G8" s="5">
        <f t="shared" si="1"/>
        <v>218.75</v>
      </c>
      <c r="H8" s="9">
        <f t="shared" si="2"/>
        <v>12.8125</v>
      </c>
      <c r="I8" s="40">
        <f t="shared" si="3"/>
        <v>1.0964912280701755</v>
      </c>
      <c r="J8" s="38"/>
      <c r="L8" s="9"/>
      <c r="M8" s="22"/>
      <c r="N8" s="22"/>
      <c r="P8" t="s">
        <v>20</v>
      </c>
      <c r="Q8">
        <f>1*0.00006479891/14.5939</f>
        <v>4.440136632428617E-06</v>
      </c>
      <c r="R8" t="s">
        <v>28</v>
      </c>
    </row>
    <row r="9" spans="1:16" ht="12.75">
      <c r="A9" t="s">
        <v>38</v>
      </c>
      <c r="B9" s="7"/>
      <c r="C9" s="1" t="s">
        <v>39</v>
      </c>
      <c r="D9">
        <v>210</v>
      </c>
      <c r="E9">
        <v>1280</v>
      </c>
      <c r="F9" s="5">
        <f t="shared" si="0"/>
        <v>763.8455851499599</v>
      </c>
      <c r="G9" s="5">
        <f t="shared" si="1"/>
        <v>268.8</v>
      </c>
      <c r="H9" s="9">
        <f t="shared" si="2"/>
        <v>15.744</v>
      </c>
      <c r="I9" s="40">
        <f t="shared" si="3"/>
        <v>1.1228070175438596</v>
      </c>
      <c r="J9" s="38">
        <v>0.183</v>
      </c>
      <c r="L9" s="9"/>
      <c r="M9" s="22"/>
      <c r="N9" s="22"/>
      <c r="P9" t="s">
        <v>266</v>
      </c>
    </row>
    <row r="10" spans="2:14" ht="12.75">
      <c r="B10" s="7"/>
      <c r="C10" s="1"/>
      <c r="F10" s="5"/>
      <c r="G10" s="5"/>
      <c r="H10" s="9"/>
      <c r="I10" s="5"/>
      <c r="J10" s="38"/>
      <c r="L10" s="9"/>
      <c r="M10" s="22"/>
      <c r="N10" s="22"/>
    </row>
    <row r="11" spans="2:14" ht="12.75">
      <c r="B11" s="2"/>
      <c r="C11" s="1"/>
      <c r="F11" s="5"/>
      <c r="G11" s="5"/>
      <c r="H11" s="9"/>
      <c r="I11" s="5"/>
      <c r="J11" s="38"/>
      <c r="L11" s="9"/>
      <c r="M11" s="22"/>
      <c r="N11" s="22"/>
    </row>
    <row r="12" spans="2:14" ht="12.75">
      <c r="B12" s="2"/>
      <c r="C12" s="1"/>
      <c r="F12" s="5"/>
      <c r="G12" s="5"/>
      <c r="H12" s="9"/>
      <c r="I12" s="5"/>
      <c r="J12" s="38"/>
      <c r="L12" s="9"/>
      <c r="M12" s="22"/>
      <c r="N12" s="22"/>
    </row>
    <row r="13" spans="2:14" ht="12.75">
      <c r="B13" s="2"/>
      <c r="C13" s="1"/>
      <c r="F13" s="5"/>
      <c r="G13" s="5"/>
      <c r="H13" s="9"/>
      <c r="I13" s="5"/>
      <c r="J13" s="38"/>
      <c r="L13" s="9"/>
      <c r="M13" s="22"/>
      <c r="N13" s="22"/>
    </row>
    <row r="14" spans="2:14" ht="12.75">
      <c r="B14" s="2"/>
      <c r="F14" s="5"/>
      <c r="G14" s="5"/>
      <c r="H14" s="9"/>
      <c r="I14" s="5"/>
      <c r="J14" s="38"/>
      <c r="L14" s="9"/>
      <c r="M14" s="22"/>
      <c r="N14" s="22"/>
    </row>
    <row r="15" spans="2:14" ht="12.75">
      <c r="B15" s="2"/>
      <c r="F15" s="5"/>
      <c r="G15" s="5"/>
      <c r="H15" s="9"/>
      <c r="I15" s="5"/>
      <c r="J15" s="38"/>
      <c r="L15" s="9"/>
      <c r="M15" s="22"/>
      <c r="N15" s="22"/>
    </row>
    <row r="16" spans="2:14" ht="12.75">
      <c r="B16" s="2"/>
      <c r="C16" s="1"/>
      <c r="F16" s="5"/>
      <c r="G16" s="5"/>
      <c r="H16" s="9"/>
      <c r="I16" s="5"/>
      <c r="J16" s="38"/>
      <c r="L16" s="9"/>
      <c r="M16" s="22"/>
      <c r="N16" s="22"/>
    </row>
    <row r="17" spans="2:14" ht="12.75">
      <c r="B17" s="2"/>
      <c r="C17" s="1"/>
      <c r="F17" s="5"/>
      <c r="G17" s="5"/>
      <c r="H17" s="9"/>
      <c r="I17" s="5"/>
      <c r="J17" s="38"/>
      <c r="L17" s="9"/>
      <c r="M17" s="22"/>
      <c r="N17" s="22"/>
    </row>
    <row r="18" spans="2:14" ht="12.75">
      <c r="B18" s="2"/>
      <c r="C18" s="1"/>
      <c r="F18" s="5"/>
      <c r="G18" s="5"/>
      <c r="H18" s="9"/>
      <c r="I18" s="5"/>
      <c r="J18" s="38"/>
      <c r="L18" s="9"/>
      <c r="M18" s="22"/>
      <c r="N18" s="22"/>
    </row>
    <row r="19" spans="2:14" ht="12.75">
      <c r="B19" s="2"/>
      <c r="C19" s="1"/>
      <c r="F19" s="5"/>
      <c r="G19" s="5"/>
      <c r="H19" s="9"/>
      <c r="I19" s="5"/>
      <c r="J19" s="38"/>
      <c r="L19" s="9"/>
      <c r="M19" s="22"/>
      <c r="N19" s="22"/>
    </row>
    <row r="20" spans="2:14" ht="12.75">
      <c r="B20" s="2"/>
      <c r="C20" s="1"/>
      <c r="F20" s="5"/>
      <c r="G20" s="5"/>
      <c r="H20" s="9"/>
      <c r="I20" s="5"/>
      <c r="J20" s="38"/>
      <c r="L20" s="9"/>
      <c r="M20" s="22"/>
      <c r="N20" s="22"/>
    </row>
    <row r="21" spans="2:14" ht="12.75">
      <c r="B21" s="2"/>
      <c r="C21" s="1"/>
      <c r="F21" s="5"/>
      <c r="G21" s="5"/>
      <c r="H21" s="9"/>
      <c r="I21" s="5"/>
      <c r="J21" s="38"/>
      <c r="L21" s="9"/>
      <c r="M21" s="22"/>
      <c r="N21" s="22"/>
    </row>
    <row r="22" spans="2:14" ht="12.75">
      <c r="B22" s="2"/>
      <c r="C22" s="1"/>
      <c r="F22" s="5"/>
      <c r="G22" s="5"/>
      <c r="H22" s="9"/>
      <c r="I22" s="5"/>
      <c r="J22" s="38"/>
      <c r="L22" s="9"/>
      <c r="M22" s="22"/>
      <c r="N22" s="22"/>
    </row>
    <row r="23" spans="3:14" ht="12.75">
      <c r="C23" s="1"/>
      <c r="F23" s="5"/>
      <c r="G23" s="5"/>
      <c r="H23" s="9"/>
      <c r="I23" s="5"/>
      <c r="J23" s="38"/>
      <c r="L23" s="9"/>
      <c r="M23" s="22"/>
      <c r="N23" s="22"/>
    </row>
    <row r="24" spans="1:14" ht="12.75">
      <c r="A24" s="10"/>
      <c r="B24" s="10"/>
      <c r="C24" s="11"/>
      <c r="D24" s="10"/>
      <c r="E24" s="10"/>
      <c r="F24" s="12"/>
      <c r="G24" s="12"/>
      <c r="H24" s="9"/>
      <c r="I24" s="5"/>
      <c r="J24" s="38"/>
      <c r="K24" s="10"/>
      <c r="L24" s="13"/>
      <c r="M24" s="22"/>
      <c r="N24" s="22"/>
    </row>
    <row r="25" spans="1:14" ht="12.75">
      <c r="A25" s="10"/>
      <c r="B25" s="10"/>
      <c r="C25" s="11"/>
      <c r="D25" s="10"/>
      <c r="E25" s="10"/>
      <c r="F25" s="12"/>
      <c r="G25" s="12"/>
      <c r="H25" s="9"/>
      <c r="I25" s="5"/>
      <c r="J25" s="38"/>
      <c r="K25" s="10"/>
      <c r="L25" s="13"/>
      <c r="M25" s="22"/>
      <c r="N25" s="22"/>
    </row>
    <row r="26" spans="3:14" ht="12.75">
      <c r="C26" s="1"/>
      <c r="F26" s="5"/>
      <c r="G26" s="5"/>
      <c r="H26" s="9"/>
      <c r="I26" s="5"/>
      <c r="J26" s="38"/>
      <c r="L26" s="9"/>
      <c r="M26" s="22"/>
      <c r="N26" s="22"/>
    </row>
    <row r="27" spans="3:14" ht="12.75">
      <c r="C27" s="1"/>
      <c r="F27" s="5"/>
      <c r="G27" s="5"/>
      <c r="H27" s="9"/>
      <c r="I27" s="5"/>
      <c r="J27" s="38"/>
      <c r="L27" s="9"/>
      <c r="M27" s="22"/>
      <c r="N27" s="22"/>
    </row>
    <row r="28" spans="3:14" ht="12.75">
      <c r="C28" s="1"/>
      <c r="F28" s="5"/>
      <c r="G28" s="5"/>
      <c r="H28" s="9"/>
      <c r="I28" s="5"/>
      <c r="J28" s="38"/>
      <c r="L28" s="9"/>
      <c r="M28" s="22"/>
      <c r="N28" s="22"/>
    </row>
    <row r="29" spans="3:14" ht="12.75">
      <c r="C29" s="1"/>
      <c r="F29" s="5"/>
      <c r="G29" s="5"/>
      <c r="H29" s="9"/>
      <c r="I29" s="5"/>
      <c r="J29" s="38"/>
      <c r="L29" s="9"/>
      <c r="M29" s="22"/>
      <c r="N29" s="22"/>
    </row>
    <row r="30" spans="3:14" ht="12.75">
      <c r="C30" s="1"/>
      <c r="F30" s="5"/>
      <c r="G30" s="5"/>
      <c r="H30" s="9"/>
      <c r="I30" s="5"/>
      <c r="J30" s="38"/>
      <c r="L30" s="9"/>
      <c r="M30" s="22"/>
      <c r="N30" s="22"/>
    </row>
    <row r="31" spans="3:14" ht="12.75">
      <c r="C31" s="1"/>
      <c r="F31" s="5"/>
      <c r="G31" s="5"/>
      <c r="H31" s="9"/>
      <c r="I31" s="5"/>
      <c r="J31" s="38"/>
      <c r="L31" s="9"/>
      <c r="M31" s="22"/>
      <c r="N31" s="22"/>
    </row>
    <row r="32" spans="3:14" ht="12.75">
      <c r="C32" s="1"/>
      <c r="F32" s="5"/>
      <c r="G32" s="5"/>
      <c r="H32" s="9"/>
      <c r="I32" s="5"/>
      <c r="J32" s="38"/>
      <c r="L32" s="9"/>
      <c r="M32" s="22"/>
      <c r="N32" s="22"/>
    </row>
    <row r="33" spans="1:14" ht="12.75">
      <c r="A33" s="10"/>
      <c r="B33" s="10"/>
      <c r="C33" s="11"/>
      <c r="D33" s="10"/>
      <c r="E33" s="10"/>
      <c r="F33" s="12"/>
      <c r="G33" s="12"/>
      <c r="H33" s="9"/>
      <c r="I33" s="5"/>
      <c r="J33" s="38"/>
      <c r="K33" s="14"/>
      <c r="L33" s="15"/>
      <c r="M33" s="22"/>
      <c r="N33" s="22"/>
    </row>
    <row r="34" spans="1:14" ht="12.75">
      <c r="A34" s="10"/>
      <c r="B34" s="10"/>
      <c r="C34" s="11"/>
      <c r="D34" s="10"/>
      <c r="E34" s="10"/>
      <c r="F34" s="5"/>
      <c r="G34" s="5"/>
      <c r="H34" s="9"/>
      <c r="I34" s="5"/>
      <c r="J34" s="38"/>
      <c r="L34" s="9"/>
      <c r="M34" s="22"/>
      <c r="N34" s="22"/>
    </row>
    <row r="35" spans="1:14" ht="12.75">
      <c r="A35" s="10"/>
      <c r="B35" s="10"/>
      <c r="C35" s="11"/>
      <c r="D35" s="10"/>
      <c r="E35" s="10"/>
      <c r="F35" s="5"/>
      <c r="G35" s="5"/>
      <c r="H35" s="9"/>
      <c r="I35" s="5"/>
      <c r="J35" s="38"/>
      <c r="L35" s="9"/>
      <c r="M35" s="22"/>
      <c r="N35" s="22"/>
    </row>
    <row r="36" spans="1:14" ht="12.75">
      <c r="A36" s="10"/>
      <c r="C36" s="11"/>
      <c r="D36" s="10"/>
      <c r="E36" s="10"/>
      <c r="F36" s="5"/>
      <c r="G36" s="5"/>
      <c r="H36" s="9"/>
      <c r="I36" s="5"/>
      <c r="J36" s="38"/>
      <c r="K36" s="10"/>
      <c r="L36" s="9"/>
      <c r="M36" s="22"/>
      <c r="N36" s="22"/>
    </row>
    <row r="37" spans="1:14" ht="12.75">
      <c r="A37" s="10"/>
      <c r="C37" s="11"/>
      <c r="D37" s="10"/>
      <c r="E37" s="10"/>
      <c r="F37" s="5"/>
      <c r="G37" s="5"/>
      <c r="H37" s="9"/>
      <c r="I37" s="5"/>
      <c r="J37" s="38"/>
      <c r="L37" s="9"/>
      <c r="M37" s="22"/>
      <c r="N37" s="22"/>
    </row>
    <row r="38" spans="1:14" ht="12.75">
      <c r="A38" s="10"/>
      <c r="C38" s="11"/>
      <c r="D38" s="10"/>
      <c r="E38" s="10"/>
      <c r="F38" s="5"/>
      <c r="G38" s="5"/>
      <c r="H38" s="9"/>
      <c r="I38" s="5"/>
      <c r="J38" s="38"/>
      <c r="L38" s="9"/>
      <c r="M38" s="22"/>
      <c r="N38" s="22"/>
    </row>
    <row r="39" spans="1:14" ht="12.75">
      <c r="A39" s="10"/>
      <c r="C39" s="11"/>
      <c r="D39" s="10"/>
      <c r="E39" s="10"/>
      <c r="F39" s="5"/>
      <c r="G39" s="5"/>
      <c r="H39" s="9"/>
      <c r="I39" s="5"/>
      <c r="J39" s="38"/>
      <c r="L39" s="9"/>
      <c r="M39" s="22"/>
      <c r="N39" s="22"/>
    </row>
  </sheetData>
  <mergeCells count="1">
    <mergeCell ref="A1:M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J1" sqref="J1:J16384"/>
    </sheetView>
  </sheetViews>
  <sheetFormatPr defaultColWidth="9.140625" defaultRowHeight="12.75"/>
  <sheetData>
    <row r="1" spans="1:16" ht="26.25">
      <c r="A1" s="28" t="s">
        <v>265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" t="s">
        <v>5</v>
      </c>
      <c r="K2" s="8" t="s">
        <v>6</v>
      </c>
      <c r="L2" s="23" t="s">
        <v>179</v>
      </c>
      <c r="M2" s="23"/>
      <c r="N2" s="4"/>
      <c r="O2" s="4"/>
      <c r="P2" s="4"/>
      <c r="Q2" s="4"/>
    </row>
    <row r="3" spans="1:15" ht="12.75">
      <c r="A3" t="s">
        <v>8</v>
      </c>
      <c r="B3" s="7"/>
      <c r="C3" s="1" t="s">
        <v>264</v>
      </c>
      <c r="D3">
        <v>200</v>
      </c>
      <c r="E3">
        <v>900</v>
      </c>
      <c r="F3" s="5">
        <f aca="true" t="shared" si="0" ref="F3:F9">0.5*D3*$P$8*E3*E3</f>
        <v>359.651067226718</v>
      </c>
      <c r="G3" s="5">
        <f aca="true" t="shared" si="1" ref="G3:G9">D3*E3/1000</f>
        <v>180</v>
      </c>
      <c r="H3" s="9">
        <f aca="true" t="shared" si="2" ref="H3:H9">0.429*D3*E3/7000</f>
        <v>11.031428571428572</v>
      </c>
      <c r="I3" s="40">
        <f>E3/$P$7</f>
        <v>0.7894736842105263</v>
      </c>
      <c r="K3" s="9"/>
      <c r="L3" s="22"/>
      <c r="M3" s="22"/>
      <c r="O3" t="s">
        <v>19</v>
      </c>
    </row>
    <row r="4" spans="1:17" ht="12.75">
      <c r="A4" t="s">
        <v>44</v>
      </c>
      <c r="C4" s="1" t="s">
        <v>274</v>
      </c>
      <c r="D4">
        <v>246</v>
      </c>
      <c r="E4">
        <v>755</v>
      </c>
      <c r="F4" s="5">
        <f t="shared" si="0"/>
        <v>311.3116327197151</v>
      </c>
      <c r="G4" s="5">
        <f t="shared" si="1"/>
        <v>185.73</v>
      </c>
      <c r="H4" s="9">
        <f t="shared" si="2"/>
        <v>11.382595714285713</v>
      </c>
      <c r="I4" s="40">
        <f aca="true" t="shared" si="3" ref="I4:I9">E4/$P$7</f>
        <v>0.6622807017543859</v>
      </c>
      <c r="K4" s="9"/>
      <c r="L4" s="22"/>
      <c r="M4" s="22"/>
      <c r="O4" t="s">
        <v>20</v>
      </c>
      <c r="P4">
        <v>0.0647989</v>
      </c>
      <c r="Q4" t="s">
        <v>21</v>
      </c>
    </row>
    <row r="5" spans="1:17" ht="12.75">
      <c r="A5" t="s">
        <v>27</v>
      </c>
      <c r="B5" s="7"/>
      <c r="C5" s="1" t="s">
        <v>274</v>
      </c>
      <c r="D5">
        <v>246</v>
      </c>
      <c r="E5">
        <v>755</v>
      </c>
      <c r="F5" s="5">
        <f t="shared" si="0"/>
        <v>311.3116327197151</v>
      </c>
      <c r="G5" s="5">
        <f t="shared" si="1"/>
        <v>185.73</v>
      </c>
      <c r="H5" s="9">
        <f t="shared" si="2"/>
        <v>11.382595714285713</v>
      </c>
      <c r="I5" s="40">
        <f t="shared" si="3"/>
        <v>0.6622807017543859</v>
      </c>
      <c r="K5" s="9"/>
      <c r="L5" s="22"/>
      <c r="M5" s="22"/>
      <c r="O5" t="s">
        <v>22</v>
      </c>
      <c r="P5">
        <v>0.3048</v>
      </c>
      <c r="Q5" t="s">
        <v>23</v>
      </c>
    </row>
    <row r="6" spans="1:17" ht="12.75">
      <c r="A6" t="s">
        <v>27</v>
      </c>
      <c r="B6" s="7"/>
      <c r="C6" s="1" t="s">
        <v>30</v>
      </c>
      <c r="D6">
        <v>200</v>
      </c>
      <c r="E6">
        <v>900</v>
      </c>
      <c r="F6" s="5">
        <f t="shared" si="0"/>
        <v>359.651067226718</v>
      </c>
      <c r="G6" s="5">
        <f t="shared" si="1"/>
        <v>180</v>
      </c>
      <c r="H6" s="9">
        <f t="shared" si="2"/>
        <v>11.031428571428572</v>
      </c>
      <c r="I6" s="40">
        <f t="shared" si="3"/>
        <v>0.7894736842105263</v>
      </c>
      <c r="K6" s="9"/>
      <c r="L6" s="22"/>
      <c r="M6" s="22"/>
      <c r="O6" t="s">
        <v>24</v>
      </c>
      <c r="P6">
        <v>340</v>
      </c>
      <c r="Q6" t="s">
        <v>23</v>
      </c>
    </row>
    <row r="7" spans="1:17" ht="12.75">
      <c r="A7" t="s">
        <v>27</v>
      </c>
      <c r="B7" s="7"/>
      <c r="C7" s="1" t="s">
        <v>30</v>
      </c>
      <c r="D7">
        <v>175</v>
      </c>
      <c r="E7">
        <v>1250</v>
      </c>
      <c r="F7" s="5">
        <f t="shared" si="0"/>
        <v>607.04993021485</v>
      </c>
      <c r="G7" s="5">
        <f t="shared" si="1"/>
        <v>218.75</v>
      </c>
      <c r="H7" s="9">
        <f t="shared" si="2"/>
        <v>13.40625</v>
      </c>
      <c r="I7" s="40">
        <f t="shared" si="3"/>
        <v>1.0964912280701755</v>
      </c>
      <c r="K7" s="9"/>
      <c r="L7" s="22"/>
      <c r="M7" s="22"/>
      <c r="P7">
        <v>1140</v>
      </c>
      <c r="Q7" t="s">
        <v>25</v>
      </c>
    </row>
    <row r="8" spans="1:17" ht="12.75">
      <c r="A8" t="s">
        <v>38</v>
      </c>
      <c r="B8" s="7"/>
      <c r="C8" s="1" t="s">
        <v>39</v>
      </c>
      <c r="D8">
        <v>200</v>
      </c>
      <c r="E8">
        <v>875</v>
      </c>
      <c r="F8" s="5">
        <f t="shared" si="0"/>
        <v>339.947960920316</v>
      </c>
      <c r="G8" s="5">
        <f t="shared" si="1"/>
        <v>175</v>
      </c>
      <c r="H8" s="9">
        <f t="shared" si="2"/>
        <v>10.725</v>
      </c>
      <c r="I8" s="40">
        <f t="shared" si="3"/>
        <v>0.7675438596491229</v>
      </c>
      <c r="K8" s="9"/>
      <c r="L8" s="22"/>
      <c r="M8" s="22"/>
      <c r="O8" t="s">
        <v>20</v>
      </c>
      <c r="P8">
        <f>1*0.00006479891/14.5939</f>
        <v>4.440136632428617E-06</v>
      </c>
      <c r="Q8" t="s">
        <v>28</v>
      </c>
    </row>
    <row r="9" spans="1:15" ht="12.75">
      <c r="A9" t="s">
        <v>57</v>
      </c>
      <c r="B9" s="7"/>
      <c r="C9" s="1" t="s">
        <v>60</v>
      </c>
      <c r="D9">
        <v>165</v>
      </c>
      <c r="E9">
        <v>1100</v>
      </c>
      <c r="F9" s="5">
        <f t="shared" si="0"/>
        <v>443.23663933218677</v>
      </c>
      <c r="G9" s="5">
        <f t="shared" si="1"/>
        <v>181.5</v>
      </c>
      <c r="H9" s="9">
        <f t="shared" si="2"/>
        <v>11.123357142857143</v>
      </c>
      <c r="I9" s="40">
        <f t="shared" si="3"/>
        <v>0.9649122807017544</v>
      </c>
      <c r="K9" s="9"/>
      <c r="L9" s="22"/>
      <c r="M9" s="22"/>
      <c r="O9" t="s">
        <v>275</v>
      </c>
    </row>
    <row r="10" spans="2:13" ht="12.75">
      <c r="B10" s="7"/>
      <c r="C10" s="1"/>
      <c r="F10" s="5"/>
      <c r="G10" s="5"/>
      <c r="H10" s="9"/>
      <c r="I10" s="5"/>
      <c r="K10" s="9"/>
      <c r="L10" s="22"/>
      <c r="M10" s="22"/>
    </row>
    <row r="11" spans="2:13" ht="12.75">
      <c r="B11" s="2"/>
      <c r="C11" s="1"/>
      <c r="F11" s="5"/>
      <c r="G11" s="5"/>
      <c r="H11" s="9"/>
      <c r="I11" s="5"/>
      <c r="K11" s="9"/>
      <c r="L11" s="22"/>
      <c r="M11" s="22"/>
    </row>
    <row r="12" spans="2:13" ht="12.75">
      <c r="B12" s="2"/>
      <c r="C12" s="1"/>
      <c r="F12" s="5"/>
      <c r="G12" s="5"/>
      <c r="H12" s="9"/>
      <c r="I12" s="5"/>
      <c r="K12" s="9"/>
      <c r="L12" s="22"/>
      <c r="M12" s="22"/>
    </row>
    <row r="13" spans="2:13" ht="12.75">
      <c r="B13" s="2"/>
      <c r="C13" s="1"/>
      <c r="F13" s="5"/>
      <c r="G13" s="5"/>
      <c r="H13" s="9"/>
      <c r="I13" s="5"/>
      <c r="K13" s="9"/>
      <c r="L13" s="22"/>
      <c r="M13" s="22"/>
    </row>
    <row r="14" spans="2:13" ht="12.75">
      <c r="B14" s="2"/>
      <c r="F14" s="5"/>
      <c r="G14" s="5"/>
      <c r="H14" s="9"/>
      <c r="I14" s="5"/>
      <c r="K14" s="9"/>
      <c r="L14" s="22"/>
      <c r="M14" s="22"/>
    </row>
    <row r="15" spans="2:13" ht="12.75">
      <c r="B15" s="2"/>
      <c r="F15" s="5"/>
      <c r="G15" s="5"/>
      <c r="H15" s="9"/>
      <c r="I15" s="5"/>
      <c r="K15" s="9"/>
      <c r="L15" s="22"/>
      <c r="M15" s="22"/>
    </row>
    <row r="16" spans="2:13" ht="12.75">
      <c r="B16" s="2"/>
      <c r="C16" s="1"/>
      <c r="F16" s="5"/>
      <c r="G16" s="5"/>
      <c r="H16" s="9"/>
      <c r="I16" s="5"/>
      <c r="K16" s="9"/>
      <c r="L16" s="22"/>
      <c r="M16" s="22"/>
    </row>
    <row r="17" spans="2:13" ht="12.75">
      <c r="B17" s="2"/>
      <c r="C17" s="1"/>
      <c r="F17" s="5"/>
      <c r="G17" s="5"/>
      <c r="H17" s="9"/>
      <c r="I17" s="5"/>
      <c r="K17" s="9"/>
      <c r="L17" s="22"/>
      <c r="M17" s="22"/>
    </row>
    <row r="18" spans="2:13" ht="12.75">
      <c r="B18" s="2"/>
      <c r="C18" s="1"/>
      <c r="F18" s="5"/>
      <c r="G18" s="5"/>
      <c r="H18" s="9"/>
      <c r="I18" s="5"/>
      <c r="K18" s="9"/>
      <c r="L18" s="22"/>
      <c r="M18" s="22"/>
    </row>
    <row r="19" spans="2:13" ht="12.75">
      <c r="B19" s="2"/>
      <c r="C19" s="1"/>
      <c r="F19" s="5"/>
      <c r="G19" s="5"/>
      <c r="H19" s="9"/>
      <c r="I19" s="5"/>
      <c r="K19" s="9"/>
      <c r="L19" s="22"/>
      <c r="M19" s="22"/>
    </row>
    <row r="20" spans="2:13" ht="12.75">
      <c r="B20" s="2"/>
      <c r="C20" s="1"/>
      <c r="F20" s="5"/>
      <c r="G20" s="5"/>
      <c r="H20" s="9"/>
      <c r="I20" s="5"/>
      <c r="K20" s="9"/>
      <c r="L20" s="22"/>
      <c r="M20" s="22"/>
    </row>
    <row r="21" spans="2:13" ht="12.75">
      <c r="B21" s="2"/>
      <c r="C21" s="1"/>
      <c r="F21" s="5"/>
      <c r="G21" s="5"/>
      <c r="H21" s="9"/>
      <c r="I21" s="5"/>
      <c r="K21" s="9"/>
      <c r="L21" s="22"/>
      <c r="M21" s="22"/>
    </row>
    <row r="22" spans="2:13" ht="12.75">
      <c r="B22" s="2"/>
      <c r="C22" s="1"/>
      <c r="F22" s="5"/>
      <c r="G22" s="5"/>
      <c r="H22" s="9"/>
      <c r="I22" s="5"/>
      <c r="K22" s="9"/>
      <c r="L22" s="22"/>
      <c r="M22" s="22"/>
    </row>
    <row r="23" spans="3:13" ht="12.75">
      <c r="C23" s="1"/>
      <c r="F23" s="5"/>
      <c r="G23" s="5"/>
      <c r="H23" s="9"/>
      <c r="I23" s="5"/>
      <c r="K23" s="9"/>
      <c r="L23" s="22"/>
      <c r="M23" s="22"/>
    </row>
    <row r="24" spans="1:13" ht="12.75">
      <c r="A24" s="10"/>
      <c r="B24" s="10"/>
      <c r="C24" s="11"/>
      <c r="D24" s="10"/>
      <c r="E24" s="10"/>
      <c r="F24" s="12"/>
      <c r="G24" s="12"/>
      <c r="H24" s="9"/>
      <c r="I24" s="5"/>
      <c r="J24" s="10"/>
      <c r="K24" s="13"/>
      <c r="L24" s="22"/>
      <c r="M24" s="22"/>
    </row>
    <row r="25" spans="1:13" ht="12.75">
      <c r="A25" s="10"/>
      <c r="B25" s="10"/>
      <c r="C25" s="11"/>
      <c r="D25" s="10"/>
      <c r="E25" s="10"/>
      <c r="F25" s="12"/>
      <c r="G25" s="12"/>
      <c r="H25" s="9"/>
      <c r="I25" s="5"/>
      <c r="J25" s="10"/>
      <c r="K25" s="13"/>
      <c r="L25" s="22"/>
      <c r="M25" s="22"/>
    </row>
    <row r="26" spans="3:13" ht="12.75">
      <c r="C26" s="1"/>
      <c r="F26" s="5"/>
      <c r="G26" s="5"/>
      <c r="H26" s="9"/>
      <c r="I26" s="5"/>
      <c r="K26" s="9"/>
      <c r="L26" s="22"/>
      <c r="M26" s="22"/>
    </row>
    <row r="27" spans="3:13" ht="12.75">
      <c r="C27" s="1"/>
      <c r="F27" s="5"/>
      <c r="G27" s="5"/>
      <c r="H27" s="9"/>
      <c r="I27" s="5"/>
      <c r="K27" s="9"/>
      <c r="L27" s="22"/>
      <c r="M27" s="22"/>
    </row>
    <row r="28" spans="3:13" ht="12.75">
      <c r="C28" s="1"/>
      <c r="F28" s="5"/>
      <c r="G28" s="5"/>
      <c r="H28" s="9"/>
      <c r="I28" s="5"/>
      <c r="K28" s="9"/>
      <c r="L28" s="22"/>
      <c r="M28" s="22"/>
    </row>
    <row r="29" spans="3:13" ht="12.75">
      <c r="C29" s="1"/>
      <c r="F29" s="5"/>
      <c r="G29" s="5"/>
      <c r="H29" s="9"/>
      <c r="I29" s="5"/>
      <c r="K29" s="9"/>
      <c r="L29" s="22"/>
      <c r="M29" s="22"/>
    </row>
    <row r="30" spans="3:13" ht="12.75">
      <c r="C30" s="1"/>
      <c r="F30" s="5"/>
      <c r="G30" s="5"/>
      <c r="H30" s="9"/>
      <c r="I30" s="5"/>
      <c r="K30" s="9"/>
      <c r="L30" s="22"/>
      <c r="M30" s="22"/>
    </row>
    <row r="31" spans="3:13" ht="12.75">
      <c r="C31" s="1"/>
      <c r="F31" s="5"/>
      <c r="G31" s="5"/>
      <c r="H31" s="9"/>
      <c r="I31" s="5"/>
      <c r="K31" s="9"/>
      <c r="L31" s="22"/>
      <c r="M31" s="22"/>
    </row>
    <row r="32" spans="3:13" ht="12.75">
      <c r="C32" s="1"/>
      <c r="F32" s="5"/>
      <c r="G32" s="5"/>
      <c r="H32" s="9"/>
      <c r="I32" s="5"/>
      <c r="K32" s="9"/>
      <c r="L32" s="22"/>
      <c r="M32" s="22"/>
    </row>
    <row r="33" spans="1:13" ht="12.75">
      <c r="A33" s="10"/>
      <c r="B33" s="10"/>
      <c r="C33" s="11"/>
      <c r="D33" s="10"/>
      <c r="E33" s="10"/>
      <c r="F33" s="12"/>
      <c r="G33" s="12"/>
      <c r="H33" s="9"/>
      <c r="I33" s="5"/>
      <c r="J33" s="14"/>
      <c r="K33" s="15"/>
      <c r="L33" s="22"/>
      <c r="M33" s="22"/>
    </row>
    <row r="34" spans="1:13" ht="12.75">
      <c r="A34" s="10"/>
      <c r="B34" s="10"/>
      <c r="C34" s="11"/>
      <c r="D34" s="10"/>
      <c r="E34" s="10"/>
      <c r="F34" s="5"/>
      <c r="G34" s="5"/>
      <c r="H34" s="9"/>
      <c r="I34" s="5"/>
      <c r="K34" s="9"/>
      <c r="L34" s="22"/>
      <c r="M34" s="22"/>
    </row>
    <row r="35" spans="1:13" ht="12.75">
      <c r="A35" s="10"/>
      <c r="B35" s="10"/>
      <c r="C35" s="11"/>
      <c r="D35" s="10"/>
      <c r="E35" s="10"/>
      <c r="F35" s="5"/>
      <c r="G35" s="5"/>
      <c r="H35" s="9"/>
      <c r="I35" s="5"/>
      <c r="K35" s="9"/>
      <c r="L35" s="22"/>
      <c r="M35" s="22"/>
    </row>
    <row r="36" spans="1:13" ht="12.75">
      <c r="A36" s="10"/>
      <c r="C36" s="11"/>
      <c r="D36" s="10"/>
      <c r="E36" s="10"/>
      <c r="F36" s="5"/>
      <c r="G36" s="5"/>
      <c r="H36" s="9"/>
      <c r="I36" s="5"/>
      <c r="J36" s="10"/>
      <c r="K36" s="9"/>
      <c r="L36" s="22"/>
      <c r="M36" s="22"/>
    </row>
    <row r="37" spans="1:13" ht="12.75">
      <c r="A37" s="10"/>
      <c r="C37" s="11"/>
      <c r="D37" s="10"/>
      <c r="E37" s="10"/>
      <c r="F37" s="5"/>
      <c r="G37" s="5"/>
      <c r="H37" s="9"/>
      <c r="I37" s="5"/>
      <c r="K37" s="9"/>
      <c r="L37" s="22"/>
      <c r="M37" s="22"/>
    </row>
    <row r="38" spans="1:13" ht="12.75">
      <c r="A38" s="10"/>
      <c r="C38" s="11"/>
      <c r="D38" s="10"/>
      <c r="E38" s="10"/>
      <c r="F38" s="5"/>
      <c r="G38" s="5"/>
      <c r="H38" s="9"/>
      <c r="I38" s="5"/>
      <c r="K38" s="9"/>
      <c r="L38" s="22"/>
      <c r="M38" s="22"/>
    </row>
    <row r="39" spans="1:13" ht="12.75">
      <c r="A39" s="10"/>
      <c r="C39" s="11"/>
      <c r="D39" s="10"/>
      <c r="E39" s="10"/>
      <c r="F39" s="5"/>
      <c r="G39" s="5"/>
      <c r="H39" s="9"/>
      <c r="I39" s="5"/>
      <c r="K39" s="9"/>
      <c r="L39" s="22"/>
      <c r="M39" s="2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F6" sqref="F6"/>
    </sheetView>
  </sheetViews>
  <sheetFormatPr defaultColWidth="9.140625" defaultRowHeight="12.75"/>
  <cols>
    <col min="1" max="1" width="11.57421875" style="0" customWidth="1"/>
    <col min="2" max="2" width="10.140625" style="0" customWidth="1"/>
    <col min="3" max="3" width="15.7109375" style="0" customWidth="1"/>
  </cols>
  <sheetData>
    <row r="1" spans="1:16" ht="26.25">
      <c r="A1" s="28" t="s">
        <v>228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" t="s">
        <v>5</v>
      </c>
      <c r="K2" s="8" t="s">
        <v>6</v>
      </c>
      <c r="L2" s="23" t="s">
        <v>179</v>
      </c>
      <c r="M2" s="23"/>
      <c r="N2" s="4"/>
      <c r="O2" s="4"/>
      <c r="P2" s="4"/>
      <c r="Q2" s="4"/>
      <c r="R2" s="4"/>
      <c r="S2" s="4"/>
    </row>
    <row r="3" spans="1:18" s="25" customFormat="1" ht="12.75">
      <c r="A3" s="25" t="s">
        <v>8</v>
      </c>
      <c r="B3" s="7" t="s">
        <v>229</v>
      </c>
      <c r="C3" s="32" t="s">
        <v>16</v>
      </c>
      <c r="D3" s="34">
        <v>240</v>
      </c>
      <c r="E3" s="34">
        <v>1180</v>
      </c>
      <c r="F3" s="5">
        <f aca="true" t="shared" si="0" ref="F3:F35">0.5*D3*$Q$8*E3*E3</f>
        <v>741.8935496392329</v>
      </c>
      <c r="G3" s="5">
        <f aca="true" t="shared" si="1" ref="G3:G18">D3*E3/1000</f>
        <v>283.2</v>
      </c>
      <c r="H3" s="9">
        <f>0.429*D3*E3/7000</f>
        <v>17.356114285714284</v>
      </c>
      <c r="I3" s="40">
        <f>E3/$Q$7</f>
        <v>1.0350877192982457</v>
      </c>
      <c r="J3" s="34">
        <v>80</v>
      </c>
      <c r="K3" s="35">
        <v>18.1</v>
      </c>
      <c r="L3" s="36"/>
      <c r="M3" s="33"/>
      <c r="P3" t="s">
        <v>19</v>
      </c>
      <c r="Q3"/>
      <c r="R3"/>
    </row>
    <row r="4" spans="1:18" ht="12.75">
      <c r="A4" t="s">
        <v>8</v>
      </c>
      <c r="B4" s="2" t="s">
        <v>230</v>
      </c>
      <c r="C4" s="1" t="s">
        <v>18</v>
      </c>
      <c r="D4">
        <v>180</v>
      </c>
      <c r="E4">
        <v>1610</v>
      </c>
      <c r="F4" s="5">
        <f t="shared" si="0"/>
        <v>1035.8350348426397</v>
      </c>
      <c r="G4" s="5">
        <f t="shared" si="1"/>
        <v>289.8</v>
      </c>
      <c r="H4" s="9">
        <f>0.429*D4*E4/7000</f>
        <v>17.7606</v>
      </c>
      <c r="I4" s="40">
        <f aca="true" t="shared" si="2" ref="I4:I35">E4/$Q$7</f>
        <v>1.412280701754386</v>
      </c>
      <c r="J4">
        <v>90</v>
      </c>
      <c r="K4" s="9">
        <v>15.6</v>
      </c>
      <c r="L4" s="22"/>
      <c r="M4" s="22"/>
      <c r="P4" t="s">
        <v>20</v>
      </c>
      <c r="Q4">
        <v>0.0647989</v>
      </c>
      <c r="R4" t="s">
        <v>21</v>
      </c>
    </row>
    <row r="5" spans="1:18" ht="12.75">
      <c r="A5" t="s">
        <v>44</v>
      </c>
      <c r="B5" s="2" t="s">
        <v>233</v>
      </c>
      <c r="C5" s="1" t="s">
        <v>231</v>
      </c>
      <c r="D5">
        <v>180</v>
      </c>
      <c r="E5">
        <v>1610</v>
      </c>
      <c r="F5" s="5">
        <f t="shared" si="0"/>
        <v>1035.8350348426397</v>
      </c>
      <c r="G5" s="5">
        <f t="shared" si="1"/>
        <v>289.8</v>
      </c>
      <c r="H5" s="9">
        <f aca="true" t="shared" si="3" ref="H5:H35">0.429*D5*E5/7000</f>
        <v>17.7606</v>
      </c>
      <c r="I5" s="40">
        <f t="shared" si="2"/>
        <v>1.412280701754386</v>
      </c>
      <c r="K5" s="9"/>
      <c r="L5" s="22"/>
      <c r="M5" s="22"/>
      <c r="P5" t="s">
        <v>22</v>
      </c>
      <c r="Q5">
        <v>0.3048</v>
      </c>
      <c r="R5" t="s">
        <v>23</v>
      </c>
    </row>
    <row r="6" spans="1:18" ht="12.75">
      <c r="A6" t="s">
        <v>44</v>
      </c>
      <c r="B6" s="2" t="s">
        <v>234</v>
      </c>
      <c r="C6" s="1" t="s">
        <v>18</v>
      </c>
      <c r="D6">
        <v>180</v>
      </c>
      <c r="E6">
        <v>1610</v>
      </c>
      <c r="F6" s="5">
        <f t="shared" si="0"/>
        <v>1035.8350348426397</v>
      </c>
      <c r="G6" s="5">
        <f t="shared" si="1"/>
        <v>289.8</v>
      </c>
      <c r="H6" s="9">
        <f t="shared" si="3"/>
        <v>17.7606</v>
      </c>
      <c r="I6" s="40">
        <f t="shared" si="2"/>
        <v>1.412280701754386</v>
      </c>
      <c r="K6" s="9"/>
      <c r="L6" s="22"/>
      <c r="M6" s="22"/>
      <c r="P6" t="s">
        <v>24</v>
      </c>
      <c r="Q6">
        <v>340</v>
      </c>
      <c r="R6" t="s">
        <v>23</v>
      </c>
    </row>
    <row r="7" spans="1:18" ht="12.75">
      <c r="A7" t="s">
        <v>44</v>
      </c>
      <c r="B7" s="2" t="s">
        <v>235</v>
      </c>
      <c r="C7" s="1" t="s">
        <v>232</v>
      </c>
      <c r="D7">
        <v>240</v>
      </c>
      <c r="E7">
        <v>1180</v>
      </c>
      <c r="F7" s="5">
        <f t="shared" si="0"/>
        <v>741.8935496392329</v>
      </c>
      <c r="G7" s="5">
        <f t="shared" si="1"/>
        <v>283.2</v>
      </c>
      <c r="H7" s="9">
        <f t="shared" si="3"/>
        <v>17.356114285714284</v>
      </c>
      <c r="I7" s="40">
        <f t="shared" si="2"/>
        <v>1.0350877192982457</v>
      </c>
      <c r="J7">
        <v>88</v>
      </c>
      <c r="K7" s="9">
        <v>16.7</v>
      </c>
      <c r="L7" s="22"/>
      <c r="M7" s="22"/>
      <c r="Q7">
        <v>1140</v>
      </c>
      <c r="R7" t="s">
        <v>25</v>
      </c>
    </row>
    <row r="8" spans="1:18" ht="12.75">
      <c r="A8" t="s">
        <v>44</v>
      </c>
      <c r="B8" s="2" t="s">
        <v>236</v>
      </c>
      <c r="C8" s="1" t="s">
        <v>231</v>
      </c>
      <c r="D8">
        <v>240</v>
      </c>
      <c r="E8">
        <v>1180</v>
      </c>
      <c r="F8" s="5">
        <f t="shared" si="0"/>
        <v>741.8935496392329</v>
      </c>
      <c r="G8" s="5">
        <f t="shared" si="1"/>
        <v>283.2</v>
      </c>
      <c r="H8" s="9">
        <f t="shared" si="3"/>
        <v>17.356114285714284</v>
      </c>
      <c r="I8" s="40">
        <f t="shared" si="2"/>
        <v>1.0350877192982457</v>
      </c>
      <c r="K8" s="9"/>
      <c r="L8" s="22"/>
      <c r="M8" s="22"/>
      <c r="P8" t="s">
        <v>20</v>
      </c>
      <c r="Q8">
        <f>1*0.00006479891/14.5939</f>
        <v>4.440136632428617E-06</v>
      </c>
      <c r="R8" t="s">
        <v>28</v>
      </c>
    </row>
    <row r="9" spans="1:16" ht="12.75">
      <c r="A9" t="s">
        <v>27</v>
      </c>
      <c r="B9" s="2" t="s">
        <v>239</v>
      </c>
      <c r="C9" s="1" t="s">
        <v>221</v>
      </c>
      <c r="D9">
        <v>240</v>
      </c>
      <c r="E9">
        <v>1180</v>
      </c>
      <c r="F9" s="5">
        <f t="shared" si="0"/>
        <v>741.8935496392329</v>
      </c>
      <c r="G9" s="5">
        <f t="shared" si="1"/>
        <v>283.2</v>
      </c>
      <c r="H9" s="9">
        <f t="shared" si="3"/>
        <v>17.356114285714284</v>
      </c>
      <c r="I9" s="40">
        <f t="shared" si="2"/>
        <v>1.0350877192982457</v>
      </c>
      <c r="K9" s="9"/>
      <c r="L9" s="22">
        <f>25.95/50</f>
        <v>0.519</v>
      </c>
      <c r="M9" s="22"/>
      <c r="P9" t="s">
        <v>266</v>
      </c>
    </row>
    <row r="10" spans="1:13" ht="12.75">
      <c r="A10" t="s">
        <v>27</v>
      </c>
      <c r="B10" s="2" t="s">
        <v>240</v>
      </c>
      <c r="C10" s="1" t="s">
        <v>237</v>
      </c>
      <c r="D10">
        <v>250</v>
      </c>
      <c r="E10">
        <v>1230</v>
      </c>
      <c r="F10" s="5">
        <f t="shared" si="0"/>
        <v>839.6853389001569</v>
      </c>
      <c r="G10" s="5">
        <f t="shared" si="1"/>
        <v>307.5</v>
      </c>
      <c r="H10" s="9">
        <f t="shared" si="3"/>
        <v>18.845357142857143</v>
      </c>
      <c r="I10" s="40">
        <f t="shared" si="2"/>
        <v>1.0789473684210527</v>
      </c>
      <c r="K10" s="9"/>
      <c r="L10" s="22">
        <f>23.9/20</f>
        <v>1.1949999999999998</v>
      </c>
      <c r="M10" s="22"/>
    </row>
    <row r="11" spans="1:13" ht="12.75">
      <c r="A11" t="s">
        <v>27</v>
      </c>
      <c r="B11" s="2" t="s">
        <v>241</v>
      </c>
      <c r="C11" s="1" t="s">
        <v>238</v>
      </c>
      <c r="D11">
        <v>250</v>
      </c>
      <c r="E11">
        <v>1250</v>
      </c>
      <c r="F11" s="5">
        <f t="shared" si="0"/>
        <v>867.2141860212143</v>
      </c>
      <c r="G11" s="5">
        <f t="shared" si="1"/>
        <v>312.5</v>
      </c>
      <c r="H11" s="9">
        <f t="shared" si="3"/>
        <v>19.151785714285715</v>
      </c>
      <c r="I11" s="40">
        <f t="shared" si="2"/>
        <v>1.0964912280701755</v>
      </c>
      <c r="K11" s="9"/>
      <c r="L11" s="22">
        <f>20.25/20</f>
        <v>1.0125</v>
      </c>
      <c r="M11" s="22"/>
    </row>
    <row r="12" spans="1:13" ht="12.75">
      <c r="A12" t="s">
        <v>27</v>
      </c>
      <c r="B12" s="2" t="s">
        <v>243</v>
      </c>
      <c r="C12" s="1" t="s">
        <v>242</v>
      </c>
      <c r="D12">
        <v>240</v>
      </c>
      <c r="E12">
        <v>1180</v>
      </c>
      <c r="F12" s="5">
        <f t="shared" si="0"/>
        <v>741.8935496392329</v>
      </c>
      <c r="G12" s="5">
        <f t="shared" si="1"/>
        <v>283.2</v>
      </c>
      <c r="H12" s="9">
        <f t="shared" si="3"/>
        <v>17.356114285714284</v>
      </c>
      <c r="I12" s="40">
        <f t="shared" si="2"/>
        <v>1.0350877192982457</v>
      </c>
      <c r="J12">
        <v>87</v>
      </c>
      <c r="K12" s="9">
        <v>16.2</v>
      </c>
      <c r="L12" s="22">
        <f>17.2/20</f>
        <v>0.86</v>
      </c>
      <c r="M12" s="22"/>
    </row>
    <row r="13" spans="1:13" ht="12.75">
      <c r="A13" t="s">
        <v>27</v>
      </c>
      <c r="B13" s="2" t="s">
        <v>244</v>
      </c>
      <c r="C13" s="1" t="s">
        <v>30</v>
      </c>
      <c r="D13">
        <v>210</v>
      </c>
      <c r="E13">
        <v>1250</v>
      </c>
      <c r="F13" s="5">
        <f t="shared" si="0"/>
        <v>728.45991625782</v>
      </c>
      <c r="G13" s="5">
        <f t="shared" si="1"/>
        <v>262.5</v>
      </c>
      <c r="H13" s="9">
        <f t="shared" si="3"/>
        <v>16.0875</v>
      </c>
      <c r="I13" s="40">
        <f t="shared" si="2"/>
        <v>1.0964912280701755</v>
      </c>
      <c r="J13">
        <v>92</v>
      </c>
      <c r="K13" s="9">
        <v>16.3</v>
      </c>
      <c r="L13" s="22">
        <f>18.45/20</f>
        <v>0.9225</v>
      </c>
      <c r="M13" s="22"/>
    </row>
    <row r="14" spans="1:13" ht="12.75">
      <c r="A14" t="s">
        <v>38</v>
      </c>
      <c r="B14" s="2">
        <v>23968</v>
      </c>
      <c r="C14" s="1" t="s">
        <v>245</v>
      </c>
      <c r="D14">
        <v>270</v>
      </c>
      <c r="E14">
        <v>1250</v>
      </c>
      <c r="F14" s="5">
        <f t="shared" si="0"/>
        <v>936.5913209029114</v>
      </c>
      <c r="G14" s="5">
        <f t="shared" si="1"/>
        <v>337.5</v>
      </c>
      <c r="H14" s="9">
        <f t="shared" si="3"/>
        <v>20.68392857142857</v>
      </c>
      <c r="I14" s="40">
        <f t="shared" si="2"/>
        <v>1.0964912280701755</v>
      </c>
      <c r="K14" s="9"/>
      <c r="L14" s="22"/>
      <c r="M14" s="22"/>
    </row>
    <row r="15" spans="1:13" ht="12.75">
      <c r="A15" t="s">
        <v>38</v>
      </c>
      <c r="B15" s="2">
        <v>23972</v>
      </c>
      <c r="C15" s="1" t="s">
        <v>39</v>
      </c>
      <c r="D15">
        <v>210</v>
      </c>
      <c r="E15">
        <v>1450</v>
      </c>
      <c r="F15" s="5">
        <f t="shared" si="0"/>
        <v>980.2156633165226</v>
      </c>
      <c r="G15" s="5">
        <f t="shared" si="1"/>
        <v>304.5</v>
      </c>
      <c r="H15" s="9">
        <f t="shared" si="3"/>
        <v>18.6615</v>
      </c>
      <c r="I15" s="40">
        <f t="shared" si="2"/>
        <v>1.2719298245614035</v>
      </c>
      <c r="M15" s="22"/>
    </row>
    <row r="16" spans="1:13" ht="12.75">
      <c r="A16" t="s">
        <v>38</v>
      </c>
      <c r="B16" s="2">
        <v>23972</v>
      </c>
      <c r="C16" s="1" t="s">
        <v>39</v>
      </c>
      <c r="D16">
        <v>240</v>
      </c>
      <c r="E16">
        <v>1400</v>
      </c>
      <c r="F16" s="5">
        <f t="shared" si="0"/>
        <v>1044.3201359472107</v>
      </c>
      <c r="G16" s="5">
        <f t="shared" si="1"/>
        <v>336</v>
      </c>
      <c r="H16" s="9">
        <f t="shared" si="3"/>
        <v>20.592</v>
      </c>
      <c r="I16" s="40">
        <f t="shared" si="2"/>
        <v>1.2280701754385965</v>
      </c>
      <c r="K16" s="9"/>
      <c r="L16" s="22"/>
      <c r="M16" s="22"/>
    </row>
    <row r="17" spans="1:13" ht="12.75">
      <c r="A17" t="s">
        <v>51</v>
      </c>
      <c r="B17" s="2" t="s">
        <v>247</v>
      </c>
      <c r="C17" s="1" t="s">
        <v>18</v>
      </c>
      <c r="D17">
        <v>180</v>
      </c>
      <c r="E17">
        <v>1400</v>
      </c>
      <c r="F17" s="5">
        <f t="shared" si="0"/>
        <v>783.240101960408</v>
      </c>
      <c r="G17" s="5">
        <f t="shared" si="1"/>
        <v>252</v>
      </c>
      <c r="H17" s="9">
        <f t="shared" si="3"/>
        <v>15.444</v>
      </c>
      <c r="I17" s="40">
        <f t="shared" si="2"/>
        <v>1.2280701754385965</v>
      </c>
      <c r="K17" s="9"/>
      <c r="L17" s="22"/>
      <c r="M17" s="22"/>
    </row>
    <row r="18" spans="1:13" ht="12.75">
      <c r="A18" t="s">
        <v>51</v>
      </c>
      <c r="B18" s="2" t="s">
        <v>248</v>
      </c>
      <c r="C18" s="1" t="s">
        <v>18</v>
      </c>
      <c r="D18">
        <v>240</v>
      </c>
      <c r="E18">
        <v>1300</v>
      </c>
      <c r="F18" s="5">
        <f t="shared" si="0"/>
        <v>900.4597090565236</v>
      </c>
      <c r="G18" s="5">
        <f t="shared" si="1"/>
        <v>312</v>
      </c>
      <c r="H18" s="9">
        <f t="shared" si="3"/>
        <v>19.121142857142857</v>
      </c>
      <c r="I18" s="40">
        <f t="shared" si="2"/>
        <v>1.1403508771929824</v>
      </c>
      <c r="K18" s="9"/>
      <c r="L18" s="22"/>
      <c r="M18" s="22"/>
    </row>
    <row r="19" spans="1:13" ht="12.75">
      <c r="A19" t="s">
        <v>51</v>
      </c>
      <c r="B19" s="2" t="s">
        <v>249</v>
      </c>
      <c r="C19" s="1" t="s">
        <v>246</v>
      </c>
      <c r="D19">
        <v>240</v>
      </c>
      <c r="E19">
        <v>1300</v>
      </c>
      <c r="F19" s="5">
        <f t="shared" si="0"/>
        <v>900.4597090565236</v>
      </c>
      <c r="G19" s="5">
        <f aca="true" t="shared" si="4" ref="G19:G35">D19*E19/1000</f>
        <v>312</v>
      </c>
      <c r="H19" s="9">
        <f t="shared" si="3"/>
        <v>19.121142857142857</v>
      </c>
      <c r="I19" s="40">
        <f t="shared" si="2"/>
        <v>1.1403508771929824</v>
      </c>
      <c r="K19" s="9"/>
      <c r="L19" s="22"/>
      <c r="M19" s="22"/>
    </row>
    <row r="20" spans="1:13" ht="12.75">
      <c r="A20" t="s">
        <v>51</v>
      </c>
      <c r="B20" s="2" t="s">
        <v>250</v>
      </c>
      <c r="C20" s="1" t="s">
        <v>56</v>
      </c>
      <c r="D20">
        <v>240</v>
      </c>
      <c r="E20">
        <v>1300</v>
      </c>
      <c r="F20" s="5">
        <f t="shared" si="0"/>
        <v>900.4597090565236</v>
      </c>
      <c r="G20" s="5">
        <f t="shared" si="4"/>
        <v>312</v>
      </c>
      <c r="H20" s="9">
        <f t="shared" si="3"/>
        <v>19.121142857142857</v>
      </c>
      <c r="I20" s="40">
        <f t="shared" si="2"/>
        <v>1.1403508771929824</v>
      </c>
      <c r="K20" s="9"/>
      <c r="L20" s="22"/>
      <c r="M20" s="22"/>
    </row>
    <row r="21" spans="1:13" ht="12.75">
      <c r="A21" t="s">
        <v>40</v>
      </c>
      <c r="B21" s="2" t="s">
        <v>251</v>
      </c>
      <c r="C21" s="1" t="s">
        <v>18</v>
      </c>
      <c r="D21">
        <v>165</v>
      </c>
      <c r="E21">
        <v>1300</v>
      </c>
      <c r="F21" s="5">
        <f t="shared" si="0"/>
        <v>619.06604997636</v>
      </c>
      <c r="G21" s="5">
        <f t="shared" si="4"/>
        <v>214.5</v>
      </c>
      <c r="H21" s="9">
        <f t="shared" si="3"/>
        <v>13.145785714285715</v>
      </c>
      <c r="I21" s="40">
        <f t="shared" si="2"/>
        <v>1.1403508771929824</v>
      </c>
      <c r="K21" s="9"/>
      <c r="L21" s="22">
        <f>16.18/20</f>
        <v>0.8089999999999999</v>
      </c>
      <c r="M21" s="22"/>
    </row>
    <row r="22" spans="1:13" ht="12.75">
      <c r="A22" t="s">
        <v>40</v>
      </c>
      <c r="B22" s="2"/>
      <c r="C22" s="1" t="s">
        <v>18</v>
      </c>
      <c r="D22">
        <v>180</v>
      </c>
      <c r="E22">
        <v>1700</v>
      </c>
      <c r="F22" s="5">
        <f t="shared" si="0"/>
        <v>1154.8795380946833</v>
      </c>
      <c r="G22" s="5">
        <f t="shared" si="4"/>
        <v>306</v>
      </c>
      <c r="H22" s="9">
        <f t="shared" si="3"/>
        <v>18.75342857142857</v>
      </c>
      <c r="I22" s="40">
        <f t="shared" si="2"/>
        <v>1.4912280701754386</v>
      </c>
      <c r="K22" s="9"/>
      <c r="L22" s="22"/>
      <c r="M22" s="22"/>
    </row>
    <row r="23" spans="1:13" ht="12.75">
      <c r="A23" t="s">
        <v>40</v>
      </c>
      <c r="B23" s="2"/>
      <c r="C23" s="1" t="s">
        <v>18</v>
      </c>
      <c r="D23">
        <v>240</v>
      </c>
      <c r="E23">
        <v>1500</v>
      </c>
      <c r="F23" s="5">
        <f t="shared" si="0"/>
        <v>1198.8368907557267</v>
      </c>
      <c r="G23" s="5">
        <f t="shared" si="4"/>
        <v>360</v>
      </c>
      <c r="H23" s="9">
        <f t="shared" si="3"/>
        <v>22.062857142857144</v>
      </c>
      <c r="I23" s="40">
        <f t="shared" si="2"/>
        <v>1.3157894736842106</v>
      </c>
      <c r="K23" s="9"/>
      <c r="L23" s="22"/>
      <c r="M23" s="22"/>
    </row>
    <row r="24" spans="1:13" ht="12.75">
      <c r="A24" t="s">
        <v>40</v>
      </c>
      <c r="C24" s="1" t="s">
        <v>252</v>
      </c>
      <c r="D24">
        <v>260</v>
      </c>
      <c r="E24">
        <v>1450</v>
      </c>
      <c r="F24" s="5">
        <f t="shared" si="0"/>
        <v>1213.6003450585517</v>
      </c>
      <c r="G24" s="5">
        <f t="shared" si="4"/>
        <v>377</v>
      </c>
      <c r="H24" s="9">
        <f t="shared" si="3"/>
        <v>23.104714285714287</v>
      </c>
      <c r="I24" s="40">
        <f t="shared" si="2"/>
        <v>1.2719298245614035</v>
      </c>
      <c r="K24" s="9"/>
      <c r="L24" s="22"/>
      <c r="M24" s="22"/>
    </row>
    <row r="25" spans="1:13" ht="12.75">
      <c r="A25" t="s">
        <v>40</v>
      </c>
      <c r="B25" s="10"/>
      <c r="C25" s="11" t="s">
        <v>253</v>
      </c>
      <c r="D25" s="10">
        <v>280</v>
      </c>
      <c r="E25" s="10">
        <v>1400</v>
      </c>
      <c r="F25" s="5">
        <f t="shared" si="0"/>
        <v>1218.3734919384126</v>
      </c>
      <c r="G25" s="5">
        <f t="shared" si="4"/>
        <v>392</v>
      </c>
      <c r="H25" s="9">
        <f t="shared" si="3"/>
        <v>24.024</v>
      </c>
      <c r="I25" s="40">
        <f t="shared" si="2"/>
        <v>1.2280701754385965</v>
      </c>
      <c r="J25" s="10"/>
      <c r="K25" s="13"/>
      <c r="L25" s="22"/>
      <c r="M25" s="22"/>
    </row>
    <row r="26" spans="1:13" ht="12.75">
      <c r="A26" t="s">
        <v>40</v>
      </c>
      <c r="B26" s="10"/>
      <c r="C26" s="11" t="s">
        <v>221</v>
      </c>
      <c r="D26" s="10">
        <v>300</v>
      </c>
      <c r="E26" s="10">
        <v>1300</v>
      </c>
      <c r="F26" s="5">
        <f t="shared" si="0"/>
        <v>1125.5746363206545</v>
      </c>
      <c r="G26" s="5">
        <f t="shared" si="4"/>
        <v>390</v>
      </c>
      <c r="H26" s="9">
        <f t="shared" si="3"/>
        <v>23.901428571428568</v>
      </c>
      <c r="I26" s="40">
        <f t="shared" si="2"/>
        <v>1.1403508771929824</v>
      </c>
      <c r="J26" s="10"/>
      <c r="K26" s="13"/>
      <c r="L26" s="22"/>
      <c r="M26" s="22"/>
    </row>
    <row r="27" spans="1:13" ht="12.75">
      <c r="A27" t="s">
        <v>40</v>
      </c>
      <c r="C27" s="11" t="s">
        <v>254</v>
      </c>
      <c r="D27" s="10">
        <v>305</v>
      </c>
      <c r="E27" s="10">
        <v>1300</v>
      </c>
      <c r="F27" s="5">
        <f t="shared" si="0"/>
        <v>1144.3342135926655</v>
      </c>
      <c r="G27" s="5">
        <f t="shared" si="4"/>
        <v>396.5</v>
      </c>
      <c r="H27" s="9">
        <f t="shared" si="3"/>
        <v>24.299785714285715</v>
      </c>
      <c r="I27" s="40">
        <f t="shared" si="2"/>
        <v>1.1403508771929824</v>
      </c>
      <c r="K27" s="9"/>
      <c r="L27" s="22"/>
      <c r="M27" s="22"/>
    </row>
    <row r="28" spans="1:13" ht="12.75">
      <c r="A28" t="s">
        <v>40</v>
      </c>
      <c r="C28" s="1" t="s">
        <v>255</v>
      </c>
      <c r="D28" s="10">
        <v>320</v>
      </c>
      <c r="E28" s="10">
        <v>1175</v>
      </c>
      <c r="F28" s="5">
        <f t="shared" si="0"/>
        <v>980.8261821034815</v>
      </c>
      <c r="G28" s="5">
        <f t="shared" si="4"/>
        <v>376</v>
      </c>
      <c r="H28" s="9">
        <f t="shared" si="3"/>
        <v>23.04342857142857</v>
      </c>
      <c r="I28" s="40">
        <f t="shared" si="2"/>
        <v>1.030701754385965</v>
      </c>
      <c r="K28" s="9"/>
      <c r="L28" s="22"/>
      <c r="M28" s="22"/>
    </row>
    <row r="29" spans="1:13" ht="12.75">
      <c r="A29" t="s">
        <v>57</v>
      </c>
      <c r="B29" t="s">
        <v>256</v>
      </c>
      <c r="C29" s="1" t="s">
        <v>60</v>
      </c>
      <c r="D29" s="10">
        <v>165</v>
      </c>
      <c r="E29" s="10">
        <v>1250</v>
      </c>
      <c r="F29" s="5">
        <f t="shared" si="0"/>
        <v>572.3613627740015</v>
      </c>
      <c r="G29" s="5">
        <f t="shared" si="4"/>
        <v>206.25</v>
      </c>
      <c r="H29" s="9">
        <f t="shared" si="3"/>
        <v>12.64017857142857</v>
      </c>
      <c r="I29" s="40">
        <f t="shared" si="2"/>
        <v>1.0964912280701755</v>
      </c>
      <c r="K29" s="9"/>
      <c r="L29" s="22"/>
      <c r="M29" s="22"/>
    </row>
    <row r="30" spans="1:9" ht="12.75">
      <c r="A30" t="s">
        <v>57</v>
      </c>
      <c r="B30" t="s">
        <v>257</v>
      </c>
      <c r="C30" s="1" t="s">
        <v>60</v>
      </c>
      <c r="D30" s="10">
        <v>240</v>
      </c>
      <c r="E30" s="10">
        <v>1285</v>
      </c>
      <c r="F30" s="5">
        <f t="shared" si="0"/>
        <v>879.7997533058333</v>
      </c>
      <c r="G30" s="5">
        <f t="shared" si="4"/>
        <v>308.4</v>
      </c>
      <c r="H30" s="9">
        <f t="shared" si="3"/>
        <v>18.900514285714287</v>
      </c>
      <c r="I30" s="40">
        <f t="shared" si="2"/>
        <v>1.1271929824561404</v>
      </c>
    </row>
    <row r="31" spans="1:9" ht="12.75">
      <c r="A31" t="s">
        <v>162</v>
      </c>
      <c r="C31" s="1" t="s">
        <v>163</v>
      </c>
      <c r="D31" s="10">
        <v>110</v>
      </c>
      <c r="E31" s="10">
        <v>2430</v>
      </c>
      <c r="F31" s="5">
        <f t="shared" si="0"/>
        <v>1442.0209540455257</v>
      </c>
      <c r="G31" s="5">
        <f t="shared" si="4"/>
        <v>267.3</v>
      </c>
      <c r="H31" s="9">
        <f t="shared" si="3"/>
        <v>16.38167142857143</v>
      </c>
      <c r="I31" s="40">
        <f t="shared" si="2"/>
        <v>2.1315789473684212</v>
      </c>
    </row>
    <row r="32" spans="1:12" ht="12.75">
      <c r="A32" t="s">
        <v>181</v>
      </c>
      <c r="C32" s="1" t="s">
        <v>182</v>
      </c>
      <c r="D32" s="10">
        <v>180</v>
      </c>
      <c r="E32" s="10">
        <v>1550</v>
      </c>
      <c r="F32" s="5">
        <f t="shared" si="0"/>
        <v>960.0685433468777</v>
      </c>
      <c r="G32" s="5">
        <f t="shared" si="4"/>
        <v>279</v>
      </c>
      <c r="H32" s="9">
        <f t="shared" si="3"/>
        <v>17.098714285714287</v>
      </c>
      <c r="I32" s="40">
        <f t="shared" si="2"/>
        <v>1.3596491228070176</v>
      </c>
      <c r="L32">
        <f>17.09/20</f>
        <v>0.8545</v>
      </c>
    </row>
    <row r="33" spans="1:12" ht="12.75">
      <c r="A33" t="s">
        <v>181</v>
      </c>
      <c r="C33" s="1" t="s">
        <v>182</v>
      </c>
      <c r="D33" s="10">
        <v>200</v>
      </c>
      <c r="E33" s="10">
        <v>1500</v>
      </c>
      <c r="F33" s="5">
        <f t="shared" si="0"/>
        <v>999.0307422964389</v>
      </c>
      <c r="G33" s="5">
        <f t="shared" si="4"/>
        <v>300</v>
      </c>
      <c r="H33" s="9">
        <f t="shared" si="3"/>
        <v>18.385714285714286</v>
      </c>
      <c r="I33" s="40">
        <f t="shared" si="2"/>
        <v>1.3157894736842106</v>
      </c>
      <c r="L33">
        <f>17.09/20</f>
        <v>0.8545</v>
      </c>
    </row>
    <row r="34" spans="1:12" ht="12.75">
      <c r="A34" t="s">
        <v>181</v>
      </c>
      <c r="C34" s="1" t="s">
        <v>182</v>
      </c>
      <c r="D34" s="10">
        <v>240</v>
      </c>
      <c r="E34" s="10">
        <v>1350</v>
      </c>
      <c r="F34" s="5">
        <f t="shared" si="0"/>
        <v>971.0578815121387</v>
      </c>
      <c r="G34" s="5">
        <f t="shared" si="4"/>
        <v>324</v>
      </c>
      <c r="H34" s="9">
        <f t="shared" si="3"/>
        <v>19.856571428571428</v>
      </c>
      <c r="I34" s="40">
        <f t="shared" si="2"/>
        <v>1.1842105263157894</v>
      </c>
      <c r="L34">
        <f>17.09/20</f>
        <v>0.8545</v>
      </c>
    </row>
    <row r="35" spans="1:12" ht="12.75">
      <c r="A35" t="s">
        <v>181</v>
      </c>
      <c r="C35" s="1" t="s">
        <v>182</v>
      </c>
      <c r="D35" s="10">
        <v>300</v>
      </c>
      <c r="E35" s="10">
        <v>1150</v>
      </c>
      <c r="F35" s="5">
        <f t="shared" si="0"/>
        <v>880.8121044580269</v>
      </c>
      <c r="G35" s="5">
        <f t="shared" si="4"/>
        <v>345</v>
      </c>
      <c r="H35" s="9">
        <f t="shared" si="3"/>
        <v>21.143571428571427</v>
      </c>
      <c r="I35" s="40">
        <f t="shared" si="2"/>
        <v>1.0087719298245614</v>
      </c>
      <c r="L35">
        <f>17.09/20</f>
        <v>0.8545</v>
      </c>
    </row>
    <row r="36" ht="12.75">
      <c r="I36" s="5"/>
    </row>
    <row r="37" ht="12.75">
      <c r="I37" s="5"/>
    </row>
    <row r="38" ht="12.75">
      <c r="I38" s="5"/>
    </row>
    <row r="39" ht="12.75">
      <c r="I3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J1" sqref="J1:J16384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1.7109375" style="0" customWidth="1"/>
    <col min="4" max="4" width="7.421875" style="0" customWidth="1"/>
    <col min="5" max="5" width="8.00390625" style="0" customWidth="1"/>
    <col min="6" max="6" width="6.421875" style="0" customWidth="1"/>
    <col min="7" max="7" width="7.421875" style="0" customWidth="1"/>
    <col min="8" max="8" width="5.140625" style="9" customWidth="1"/>
    <col min="9" max="9" width="4.421875" style="9" customWidth="1"/>
    <col min="10" max="10" width="11.421875" style="0" customWidth="1"/>
    <col min="11" max="11" width="12.421875" style="0" customWidth="1"/>
  </cols>
  <sheetData>
    <row r="1" spans="1:15" ht="33.75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25.5" customHeight="1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8" t="s">
        <v>217</v>
      </c>
      <c r="I2" s="8" t="s">
        <v>300</v>
      </c>
      <c r="J2" s="3" t="s">
        <v>5</v>
      </c>
      <c r="K2" s="8" t="s">
        <v>6</v>
      </c>
      <c r="L2" s="23" t="s">
        <v>179</v>
      </c>
      <c r="M2" s="4"/>
      <c r="N2" s="4"/>
      <c r="O2" s="4"/>
      <c r="P2" s="4"/>
    </row>
    <row r="3" spans="1:15" ht="12.75">
      <c r="A3" t="s">
        <v>8</v>
      </c>
      <c r="B3" s="2" t="s">
        <v>63</v>
      </c>
      <c r="C3" s="1" t="s">
        <v>16</v>
      </c>
      <c r="D3">
        <v>230</v>
      </c>
      <c r="E3">
        <v>850</v>
      </c>
      <c r="F3" s="5">
        <f aca="true" t="shared" si="0" ref="F3:F36">0.5*D3*$P$8*E3*E3</f>
        <v>368.9198524469128</v>
      </c>
      <c r="G3" s="5">
        <f>D3*E3/1000</f>
        <v>195.5</v>
      </c>
      <c r="H3" s="9">
        <f>0.45*D3*E3/7000</f>
        <v>12.567857142857143</v>
      </c>
      <c r="I3" s="40">
        <f>E3/$P$7</f>
        <v>0.7456140350877193</v>
      </c>
      <c r="J3">
        <v>96</v>
      </c>
      <c r="K3" s="9">
        <v>13.9</v>
      </c>
      <c r="O3" t="s">
        <v>19</v>
      </c>
    </row>
    <row r="4" spans="1:17" ht="12.75">
      <c r="A4" t="s">
        <v>8</v>
      </c>
      <c r="B4" s="2" t="s">
        <v>64</v>
      </c>
      <c r="C4" s="1" t="s">
        <v>17</v>
      </c>
      <c r="D4">
        <v>165</v>
      </c>
      <c r="E4">
        <v>1090</v>
      </c>
      <c r="F4" s="5">
        <f t="shared" si="0"/>
        <v>435.21442247154636</v>
      </c>
      <c r="G4" s="5">
        <f aca="true" t="shared" si="1" ref="G4:G36">D4*E4/1000</f>
        <v>179.85</v>
      </c>
      <c r="H4" s="9">
        <f aca="true" t="shared" si="2" ref="H4:H36">0.45*D4*E4/7000</f>
        <v>11.561785714285714</v>
      </c>
      <c r="I4" s="40">
        <f aca="true" t="shared" si="3" ref="I4:I36">E4/$P$7</f>
        <v>0.956140350877193</v>
      </c>
      <c r="K4" s="9"/>
      <c r="O4" t="s">
        <v>20</v>
      </c>
      <c r="P4">
        <v>0.0647989</v>
      </c>
      <c r="Q4" t="s">
        <v>21</v>
      </c>
    </row>
    <row r="5" spans="1:17" ht="12.75">
      <c r="A5" t="s">
        <v>8</v>
      </c>
      <c r="B5" s="2" t="s">
        <v>65</v>
      </c>
      <c r="C5" s="1" t="s">
        <v>16</v>
      </c>
      <c r="D5">
        <v>165</v>
      </c>
      <c r="E5">
        <v>1060</v>
      </c>
      <c r="F5" s="5">
        <f t="shared" si="0"/>
        <v>411.58734541623556</v>
      </c>
      <c r="G5" s="5">
        <f t="shared" si="1"/>
        <v>174.9</v>
      </c>
      <c r="H5" s="9">
        <f t="shared" si="2"/>
        <v>11.243571428571428</v>
      </c>
      <c r="I5" s="40">
        <f t="shared" si="3"/>
        <v>0.9298245614035088</v>
      </c>
      <c r="J5">
        <v>84</v>
      </c>
      <c r="K5" s="9">
        <v>14.7</v>
      </c>
      <c r="O5" t="s">
        <v>22</v>
      </c>
      <c r="P5">
        <v>0.3048</v>
      </c>
      <c r="Q5" t="s">
        <v>23</v>
      </c>
    </row>
    <row r="6" spans="1:17" ht="12.75">
      <c r="A6" t="s">
        <v>8</v>
      </c>
      <c r="B6" s="2" t="s">
        <v>66</v>
      </c>
      <c r="C6" s="1" t="s">
        <v>18</v>
      </c>
      <c r="D6">
        <v>185</v>
      </c>
      <c r="E6">
        <v>950</v>
      </c>
      <c r="F6" s="5">
        <f t="shared" si="0"/>
        <v>370.6681562459315</v>
      </c>
      <c r="G6" s="5">
        <f t="shared" si="1"/>
        <v>175.75</v>
      </c>
      <c r="H6" s="9">
        <f t="shared" si="2"/>
        <v>11.298214285714286</v>
      </c>
      <c r="I6" s="40">
        <f t="shared" si="3"/>
        <v>0.8333333333333334</v>
      </c>
      <c r="J6">
        <v>88</v>
      </c>
      <c r="K6" s="9">
        <v>11.6</v>
      </c>
      <c r="O6" t="s">
        <v>24</v>
      </c>
      <c r="P6">
        <v>340</v>
      </c>
      <c r="Q6" t="s">
        <v>23</v>
      </c>
    </row>
    <row r="7" spans="1:17" ht="12.75">
      <c r="A7" t="s">
        <v>8</v>
      </c>
      <c r="B7" s="2" t="s">
        <v>67</v>
      </c>
      <c r="C7" s="1" t="s">
        <v>18</v>
      </c>
      <c r="D7">
        <v>230</v>
      </c>
      <c r="E7">
        <v>850</v>
      </c>
      <c r="F7" s="5">
        <f t="shared" si="0"/>
        <v>368.9198524469128</v>
      </c>
      <c r="G7" s="5">
        <f t="shared" si="1"/>
        <v>195.5</v>
      </c>
      <c r="H7" s="9">
        <f t="shared" si="2"/>
        <v>12.567857142857143</v>
      </c>
      <c r="I7" s="40">
        <f t="shared" si="3"/>
        <v>0.7456140350877193</v>
      </c>
      <c r="K7" s="9"/>
      <c r="P7">
        <v>1140</v>
      </c>
      <c r="Q7" t="s">
        <v>25</v>
      </c>
    </row>
    <row r="8" spans="1:17" ht="12.75">
      <c r="A8" t="s">
        <v>44</v>
      </c>
      <c r="B8" s="2" t="s">
        <v>70</v>
      </c>
      <c r="C8" s="1" t="s">
        <v>18</v>
      </c>
      <c r="D8">
        <v>185</v>
      </c>
      <c r="E8">
        <v>1000</v>
      </c>
      <c r="F8" s="5">
        <f t="shared" si="0"/>
        <v>410.71263849964714</v>
      </c>
      <c r="G8" s="5">
        <f t="shared" si="1"/>
        <v>185</v>
      </c>
      <c r="H8" s="9">
        <f t="shared" si="2"/>
        <v>11.892857142857142</v>
      </c>
      <c r="I8" s="40">
        <f t="shared" si="3"/>
        <v>0.8771929824561403</v>
      </c>
      <c r="J8">
        <v>81</v>
      </c>
      <c r="K8" s="9">
        <v>13.6</v>
      </c>
      <c r="O8" t="s">
        <v>20</v>
      </c>
      <c r="P8">
        <f>1*0.00006479891/14.5939</f>
        <v>4.440136632428617E-06</v>
      </c>
      <c r="Q8" t="s">
        <v>28</v>
      </c>
    </row>
    <row r="9" spans="1:11" ht="12.75">
      <c r="A9" t="s">
        <v>44</v>
      </c>
      <c r="B9" s="2" t="s">
        <v>71</v>
      </c>
      <c r="C9" s="1" t="s">
        <v>50</v>
      </c>
      <c r="D9">
        <v>185</v>
      </c>
      <c r="E9">
        <v>1015</v>
      </c>
      <c r="F9" s="5">
        <f t="shared" si="0"/>
        <v>423.12642799829894</v>
      </c>
      <c r="G9" s="5">
        <f t="shared" si="1"/>
        <v>187.775</v>
      </c>
      <c r="H9" s="9">
        <f t="shared" si="2"/>
        <v>12.07125</v>
      </c>
      <c r="I9" s="40">
        <f t="shared" si="3"/>
        <v>0.8903508771929824</v>
      </c>
      <c r="J9">
        <v>96</v>
      </c>
      <c r="K9" s="9">
        <v>12.4</v>
      </c>
    </row>
    <row r="10" spans="1:11" ht="12.75">
      <c r="A10" t="s">
        <v>44</v>
      </c>
      <c r="B10" s="2" t="s">
        <v>72</v>
      </c>
      <c r="C10" s="1" t="s">
        <v>69</v>
      </c>
      <c r="D10">
        <v>185</v>
      </c>
      <c r="E10">
        <v>1140</v>
      </c>
      <c r="F10" s="5">
        <f t="shared" si="0"/>
        <v>533.7621449941414</v>
      </c>
      <c r="G10" s="5">
        <f t="shared" si="1"/>
        <v>210.9</v>
      </c>
      <c r="H10" s="9">
        <f t="shared" si="2"/>
        <v>13.557857142857143</v>
      </c>
      <c r="I10" s="40">
        <f t="shared" si="3"/>
        <v>1</v>
      </c>
      <c r="J10">
        <v>92</v>
      </c>
      <c r="K10" s="9">
        <v>12.9</v>
      </c>
    </row>
    <row r="11" spans="1:11" ht="12.75">
      <c r="A11" t="s">
        <v>44</v>
      </c>
      <c r="B11" s="2" t="s">
        <v>73</v>
      </c>
      <c r="C11" s="1" t="s">
        <v>68</v>
      </c>
      <c r="D11">
        <v>230</v>
      </c>
      <c r="E11">
        <v>875</v>
      </c>
      <c r="F11" s="5">
        <f t="shared" si="0"/>
        <v>390.9401550583634</v>
      </c>
      <c r="G11" s="5">
        <f t="shared" si="1"/>
        <v>201.25</v>
      </c>
      <c r="H11" s="9">
        <f t="shared" si="2"/>
        <v>12.9375</v>
      </c>
      <c r="I11" s="40">
        <f t="shared" si="3"/>
        <v>0.7675438596491229</v>
      </c>
      <c r="J11">
        <v>90</v>
      </c>
      <c r="K11" s="9">
        <v>12.9</v>
      </c>
    </row>
    <row r="12" spans="1:11" ht="12.75">
      <c r="A12" t="s">
        <v>44</v>
      </c>
      <c r="B12" s="2" t="s">
        <v>74</v>
      </c>
      <c r="C12" s="1" t="s">
        <v>18</v>
      </c>
      <c r="D12">
        <v>230</v>
      </c>
      <c r="E12">
        <v>835</v>
      </c>
      <c r="F12" s="5">
        <f t="shared" si="0"/>
        <v>356.01404030768</v>
      </c>
      <c r="G12" s="5">
        <f t="shared" si="1"/>
        <v>192.05</v>
      </c>
      <c r="H12" s="9">
        <f t="shared" si="2"/>
        <v>12.34607142857143</v>
      </c>
      <c r="I12" s="40">
        <f t="shared" si="3"/>
        <v>0.7324561403508771</v>
      </c>
      <c r="K12" s="9"/>
    </row>
    <row r="13" spans="1:11" ht="12.75">
      <c r="A13" t="s">
        <v>27</v>
      </c>
      <c r="B13" s="2" t="s">
        <v>75</v>
      </c>
      <c r="C13" s="1" t="s">
        <v>34</v>
      </c>
      <c r="D13">
        <v>230</v>
      </c>
      <c r="E13">
        <v>880</v>
      </c>
      <c r="F13" s="5">
        <f t="shared" si="0"/>
        <v>395.420807937563</v>
      </c>
      <c r="G13" s="5">
        <f t="shared" si="1"/>
        <v>202.4</v>
      </c>
      <c r="H13" s="9">
        <f t="shared" si="2"/>
        <v>13.01142857142857</v>
      </c>
      <c r="I13" s="40">
        <f t="shared" si="3"/>
        <v>0.7719298245614035</v>
      </c>
      <c r="J13">
        <v>88</v>
      </c>
      <c r="K13" s="9">
        <v>13.9</v>
      </c>
    </row>
    <row r="14" spans="1:11" ht="12.75">
      <c r="A14" t="s">
        <v>27</v>
      </c>
      <c r="B14" s="2" t="s">
        <v>76</v>
      </c>
      <c r="C14" s="1" t="s">
        <v>18</v>
      </c>
      <c r="D14">
        <v>230</v>
      </c>
      <c r="E14">
        <v>880</v>
      </c>
      <c r="F14" s="5">
        <f t="shared" si="0"/>
        <v>395.420807937563</v>
      </c>
      <c r="G14" s="5">
        <f t="shared" si="1"/>
        <v>202.4</v>
      </c>
      <c r="H14" s="9">
        <f t="shared" si="2"/>
        <v>13.01142857142857</v>
      </c>
      <c r="I14" s="40">
        <f t="shared" si="3"/>
        <v>0.7719298245614035</v>
      </c>
      <c r="K14" s="9"/>
    </row>
    <row r="15" spans="1:11" ht="12.75">
      <c r="A15" t="s">
        <v>27</v>
      </c>
      <c r="B15" s="2" t="s">
        <v>77</v>
      </c>
      <c r="C15" s="1" t="s">
        <v>30</v>
      </c>
      <c r="D15">
        <v>185</v>
      </c>
      <c r="E15">
        <v>1000</v>
      </c>
      <c r="F15" s="5">
        <f t="shared" si="0"/>
        <v>410.71263849964714</v>
      </c>
      <c r="G15" s="5">
        <f t="shared" si="1"/>
        <v>185</v>
      </c>
      <c r="H15" s="9">
        <f t="shared" si="2"/>
        <v>11.892857142857142</v>
      </c>
      <c r="I15" s="40">
        <f t="shared" si="3"/>
        <v>0.8771929824561403</v>
      </c>
      <c r="J15">
        <v>88</v>
      </c>
      <c r="K15" s="9">
        <v>11.5</v>
      </c>
    </row>
    <row r="16" spans="1:11" ht="12.75">
      <c r="A16" t="s">
        <v>40</v>
      </c>
      <c r="B16" s="2" t="s">
        <v>79</v>
      </c>
      <c r="C16" s="1" t="s">
        <v>78</v>
      </c>
      <c r="D16">
        <v>165</v>
      </c>
      <c r="E16">
        <v>1250</v>
      </c>
      <c r="F16" s="5">
        <f t="shared" si="0"/>
        <v>572.3613627740015</v>
      </c>
      <c r="G16" s="5">
        <f t="shared" si="1"/>
        <v>206.25</v>
      </c>
      <c r="H16" s="9">
        <f t="shared" si="2"/>
        <v>13.258928571428571</v>
      </c>
      <c r="I16" s="40">
        <f t="shared" si="3"/>
        <v>1.0964912280701755</v>
      </c>
      <c r="K16" s="9"/>
    </row>
    <row r="17" spans="1:11" ht="12.75">
      <c r="A17" t="s">
        <v>40</v>
      </c>
      <c r="B17" s="2" t="s">
        <v>79</v>
      </c>
      <c r="C17" s="1" t="s">
        <v>78</v>
      </c>
      <c r="D17">
        <v>185</v>
      </c>
      <c r="E17">
        <v>1150</v>
      </c>
      <c r="F17" s="5">
        <f t="shared" si="0"/>
        <v>543.1674644157833</v>
      </c>
      <c r="G17" s="5">
        <f t="shared" si="1"/>
        <v>212.75</v>
      </c>
      <c r="H17" s="9">
        <f t="shared" si="2"/>
        <v>13.676785714285714</v>
      </c>
      <c r="I17" s="40">
        <f t="shared" si="3"/>
        <v>1.0087719298245614</v>
      </c>
      <c r="J17">
        <v>90</v>
      </c>
      <c r="K17" s="9">
        <v>11.1</v>
      </c>
    </row>
    <row r="18" spans="1:11" ht="12.75">
      <c r="A18" t="s">
        <v>40</v>
      </c>
      <c r="B18" s="2" t="s">
        <v>79</v>
      </c>
      <c r="C18" s="1" t="s">
        <v>78</v>
      </c>
      <c r="D18">
        <v>200</v>
      </c>
      <c r="E18">
        <v>1050</v>
      </c>
      <c r="F18" s="5">
        <f t="shared" si="0"/>
        <v>489.52506372525505</v>
      </c>
      <c r="G18" s="5">
        <f t="shared" si="1"/>
        <v>210</v>
      </c>
      <c r="H18" s="9">
        <f t="shared" si="2"/>
        <v>13.5</v>
      </c>
      <c r="I18" s="40">
        <f t="shared" si="3"/>
        <v>0.9210526315789473</v>
      </c>
      <c r="K18" s="9"/>
    </row>
    <row r="19" spans="1:11" ht="12.75">
      <c r="A19" t="s">
        <v>40</v>
      </c>
      <c r="B19" s="2" t="s">
        <v>79</v>
      </c>
      <c r="C19" s="1" t="s">
        <v>78</v>
      </c>
      <c r="D19">
        <v>230</v>
      </c>
      <c r="E19">
        <v>950</v>
      </c>
      <c r="F19" s="5">
        <f t="shared" si="0"/>
        <v>460.83068073818515</v>
      </c>
      <c r="G19" s="5">
        <f t="shared" si="1"/>
        <v>218.5</v>
      </c>
      <c r="H19" s="9">
        <f t="shared" si="2"/>
        <v>14.04642857142857</v>
      </c>
      <c r="I19" s="40">
        <f t="shared" si="3"/>
        <v>0.8333333333333334</v>
      </c>
      <c r="K19" s="9"/>
    </row>
    <row r="20" spans="1:11" ht="12.75">
      <c r="A20" t="s">
        <v>37</v>
      </c>
      <c r="B20" s="2">
        <v>3568</v>
      </c>
      <c r="C20" s="1" t="s">
        <v>18</v>
      </c>
      <c r="D20">
        <v>200</v>
      </c>
      <c r="E20">
        <v>975</v>
      </c>
      <c r="F20" s="5">
        <f t="shared" si="0"/>
        <v>422.0904886202454</v>
      </c>
      <c r="G20" s="5">
        <f t="shared" si="1"/>
        <v>195</v>
      </c>
      <c r="H20" s="9">
        <f t="shared" si="2"/>
        <v>12.535714285714286</v>
      </c>
      <c r="I20" s="40">
        <f t="shared" si="3"/>
        <v>0.8552631578947368</v>
      </c>
      <c r="J20">
        <v>88</v>
      </c>
      <c r="K20" s="9">
        <v>12.4</v>
      </c>
    </row>
    <row r="21" spans="1:11" ht="12.75">
      <c r="A21" t="s">
        <v>38</v>
      </c>
      <c r="B21" s="2">
        <v>23964</v>
      </c>
      <c r="C21" s="1" t="s">
        <v>39</v>
      </c>
      <c r="D21">
        <v>185</v>
      </c>
      <c r="E21">
        <v>1050</v>
      </c>
      <c r="F21" s="5">
        <f t="shared" si="0"/>
        <v>452.81068394586094</v>
      </c>
      <c r="G21" s="5">
        <f t="shared" si="1"/>
        <v>194.25</v>
      </c>
      <c r="H21" s="9">
        <f t="shared" si="2"/>
        <v>12.4875</v>
      </c>
      <c r="I21" s="40">
        <f t="shared" si="3"/>
        <v>0.9210526315789473</v>
      </c>
      <c r="K21" s="9"/>
    </row>
    <row r="22" spans="1:11" ht="12.75">
      <c r="A22" t="s">
        <v>38</v>
      </c>
      <c r="B22" s="2">
        <v>23966</v>
      </c>
      <c r="C22" s="1" t="s">
        <v>39</v>
      </c>
      <c r="D22">
        <v>230</v>
      </c>
      <c r="E22">
        <v>890</v>
      </c>
      <c r="F22" s="5">
        <f t="shared" si="0"/>
        <v>404.45870605287143</v>
      </c>
      <c r="G22" s="5">
        <f t="shared" si="1"/>
        <v>204.7</v>
      </c>
      <c r="H22" s="9">
        <f t="shared" si="2"/>
        <v>13.159285714285714</v>
      </c>
      <c r="I22" s="40">
        <f t="shared" si="3"/>
        <v>0.7807017543859649</v>
      </c>
      <c r="J22">
        <v>93</v>
      </c>
      <c r="K22" s="9">
        <v>12.2</v>
      </c>
    </row>
    <row r="23" spans="1:11" ht="12.75">
      <c r="A23" t="s">
        <v>38</v>
      </c>
      <c r="B23" s="2">
        <v>23969</v>
      </c>
      <c r="C23" s="1" t="s">
        <v>103</v>
      </c>
      <c r="D23">
        <v>200</v>
      </c>
      <c r="E23">
        <v>1080</v>
      </c>
      <c r="F23" s="5">
        <f t="shared" si="0"/>
        <v>517.8975368064739</v>
      </c>
      <c r="G23" s="5">
        <f t="shared" si="1"/>
        <v>216</v>
      </c>
      <c r="H23" s="9">
        <f t="shared" si="2"/>
        <v>13.885714285714286</v>
      </c>
      <c r="I23" s="40">
        <f t="shared" si="3"/>
        <v>0.9473684210526315</v>
      </c>
      <c r="K23" s="9"/>
    </row>
    <row r="24" spans="1:11" ht="12.75">
      <c r="A24" t="s">
        <v>51</v>
      </c>
      <c r="B24" s="2" t="s">
        <v>80</v>
      </c>
      <c r="C24" s="1" t="s">
        <v>26</v>
      </c>
      <c r="D24">
        <v>230</v>
      </c>
      <c r="E24">
        <v>830</v>
      </c>
      <c r="F24" s="5">
        <f t="shared" si="0"/>
        <v>351.7631644992086</v>
      </c>
      <c r="G24" s="5">
        <f t="shared" si="1"/>
        <v>190.9</v>
      </c>
      <c r="H24" s="9">
        <f t="shared" si="2"/>
        <v>12.272142857142857</v>
      </c>
      <c r="I24" s="40">
        <f t="shared" si="3"/>
        <v>0.7280701754385965</v>
      </c>
      <c r="K24" s="9"/>
    </row>
    <row r="25" spans="1:11" ht="12.75">
      <c r="A25" t="s">
        <v>51</v>
      </c>
      <c r="B25" s="2" t="s">
        <v>81</v>
      </c>
      <c r="C25" s="1" t="s">
        <v>18</v>
      </c>
      <c r="D25">
        <v>185</v>
      </c>
      <c r="E25">
        <v>900</v>
      </c>
      <c r="F25" s="5">
        <f t="shared" si="0"/>
        <v>332.67723718471416</v>
      </c>
      <c r="G25" s="5">
        <f t="shared" si="1"/>
        <v>166.5</v>
      </c>
      <c r="H25" s="9">
        <f t="shared" si="2"/>
        <v>10.70357142857143</v>
      </c>
      <c r="I25" s="40">
        <f t="shared" si="3"/>
        <v>0.7894736842105263</v>
      </c>
      <c r="K25" s="9"/>
    </row>
    <row r="26" spans="1:11" ht="12.75">
      <c r="A26" t="s">
        <v>51</v>
      </c>
      <c r="B26" s="2" t="s">
        <v>82</v>
      </c>
      <c r="C26" s="1" t="s">
        <v>56</v>
      </c>
      <c r="D26">
        <v>230</v>
      </c>
      <c r="E26">
        <v>850</v>
      </c>
      <c r="F26" s="5">
        <f t="shared" si="0"/>
        <v>368.9198524469128</v>
      </c>
      <c r="G26" s="5">
        <f t="shared" si="1"/>
        <v>195.5</v>
      </c>
      <c r="H26" s="9">
        <f t="shared" si="2"/>
        <v>12.567857142857143</v>
      </c>
      <c r="I26" s="40">
        <f t="shared" si="3"/>
        <v>0.7456140350877193</v>
      </c>
      <c r="J26" s="27"/>
      <c r="K26" s="9"/>
    </row>
    <row r="27" spans="1:11" ht="12.75">
      <c r="A27" t="s">
        <v>57</v>
      </c>
      <c r="B27" s="2" t="s">
        <v>83</v>
      </c>
      <c r="C27" s="1" t="s">
        <v>60</v>
      </c>
      <c r="D27">
        <v>165</v>
      </c>
      <c r="E27">
        <v>1250</v>
      </c>
      <c r="F27" s="5">
        <f t="shared" si="0"/>
        <v>572.3613627740015</v>
      </c>
      <c r="G27" s="5">
        <f t="shared" si="1"/>
        <v>206.25</v>
      </c>
      <c r="H27" s="9">
        <f t="shared" si="2"/>
        <v>13.258928571428571</v>
      </c>
      <c r="I27" s="40">
        <f t="shared" si="3"/>
        <v>1.0964912280701755</v>
      </c>
      <c r="J27" s="27"/>
      <c r="K27" s="9"/>
    </row>
    <row r="28" spans="1:11" ht="12.75">
      <c r="A28" t="s">
        <v>57</v>
      </c>
      <c r="B28" s="2" t="s">
        <v>84</v>
      </c>
      <c r="C28" s="1" t="s">
        <v>60</v>
      </c>
      <c r="D28">
        <v>230</v>
      </c>
      <c r="E28">
        <v>950</v>
      </c>
      <c r="F28" s="5">
        <f t="shared" si="0"/>
        <v>460.83068073818515</v>
      </c>
      <c r="G28" s="5">
        <f t="shared" si="1"/>
        <v>218.5</v>
      </c>
      <c r="H28" s="9">
        <f t="shared" si="2"/>
        <v>14.04642857142857</v>
      </c>
      <c r="I28" s="40">
        <f t="shared" si="3"/>
        <v>0.8333333333333334</v>
      </c>
      <c r="J28" s="27"/>
      <c r="K28" s="9"/>
    </row>
    <row r="29" spans="1:11" ht="12.75">
      <c r="A29" t="s">
        <v>154</v>
      </c>
      <c r="B29" s="2" t="s">
        <v>157</v>
      </c>
      <c r="C29" s="1" t="s">
        <v>78</v>
      </c>
      <c r="D29">
        <v>185</v>
      </c>
      <c r="E29">
        <v>1148</v>
      </c>
      <c r="F29" s="5">
        <f t="shared" si="0"/>
        <v>541.2798291292389</v>
      </c>
      <c r="G29" s="5">
        <f t="shared" si="1"/>
        <v>212.38</v>
      </c>
      <c r="H29" s="9">
        <f t="shared" si="2"/>
        <v>13.653</v>
      </c>
      <c r="I29" s="40">
        <f t="shared" si="3"/>
        <v>1.0070175438596491</v>
      </c>
      <c r="J29" s="27"/>
      <c r="K29" s="9"/>
    </row>
    <row r="30" spans="1:11" ht="12.75">
      <c r="A30" t="s">
        <v>154</v>
      </c>
      <c r="B30" s="2" t="s">
        <v>158</v>
      </c>
      <c r="C30" s="1" t="s">
        <v>78</v>
      </c>
      <c r="D30">
        <v>230</v>
      </c>
      <c r="E30">
        <v>1007</v>
      </c>
      <c r="F30" s="5">
        <f t="shared" si="0"/>
        <v>517.7893528774249</v>
      </c>
      <c r="G30" s="5">
        <f t="shared" si="1"/>
        <v>231.61</v>
      </c>
      <c r="H30" s="9">
        <f t="shared" si="2"/>
        <v>14.889214285714285</v>
      </c>
      <c r="I30" s="40">
        <f t="shared" si="3"/>
        <v>0.8833333333333333</v>
      </c>
      <c r="J30" s="27"/>
      <c r="K30" s="9"/>
    </row>
    <row r="31" spans="1:11" ht="12.75">
      <c r="A31" t="s">
        <v>162</v>
      </c>
      <c r="B31" s="2"/>
      <c r="C31" s="1" t="s">
        <v>163</v>
      </c>
      <c r="D31">
        <v>90</v>
      </c>
      <c r="E31">
        <v>2036</v>
      </c>
      <c r="F31" s="5">
        <f t="shared" si="0"/>
        <v>828.2556279836917</v>
      </c>
      <c r="G31" s="5">
        <f t="shared" si="1"/>
        <v>183.24</v>
      </c>
      <c r="H31" s="9">
        <f t="shared" si="2"/>
        <v>11.779714285714286</v>
      </c>
      <c r="I31" s="40">
        <f t="shared" si="3"/>
        <v>1.7859649122807018</v>
      </c>
      <c r="J31" s="27">
        <v>99</v>
      </c>
      <c r="K31" s="9">
        <v>9</v>
      </c>
    </row>
    <row r="32" spans="1:11" ht="12.75">
      <c r="A32" t="s">
        <v>162</v>
      </c>
      <c r="B32" s="2"/>
      <c r="C32" s="1" t="s">
        <v>163</v>
      </c>
      <c r="D32">
        <v>115</v>
      </c>
      <c r="E32">
        <v>1650</v>
      </c>
      <c r="F32" s="5">
        <f t="shared" si="0"/>
        <v>695.0756389527473</v>
      </c>
      <c r="G32" s="5">
        <f t="shared" si="1"/>
        <v>189.75</v>
      </c>
      <c r="H32" s="9">
        <f t="shared" si="2"/>
        <v>12.198214285714286</v>
      </c>
      <c r="I32" s="40">
        <f t="shared" si="3"/>
        <v>1.4473684210526316</v>
      </c>
      <c r="J32" s="27">
        <v>94</v>
      </c>
      <c r="K32" s="9">
        <v>15</v>
      </c>
    </row>
    <row r="33" spans="1:12" ht="12.75">
      <c r="A33" t="s">
        <v>181</v>
      </c>
      <c r="B33" s="2">
        <v>9090</v>
      </c>
      <c r="C33" s="1" t="s">
        <v>182</v>
      </c>
      <c r="D33">
        <v>185</v>
      </c>
      <c r="E33">
        <v>950</v>
      </c>
      <c r="F33" s="5">
        <f t="shared" si="0"/>
        <v>370.6681562459315</v>
      </c>
      <c r="G33" s="5">
        <f t="shared" si="1"/>
        <v>175.75</v>
      </c>
      <c r="H33" s="9">
        <f t="shared" si="2"/>
        <v>11.298214285714286</v>
      </c>
      <c r="I33" s="40">
        <f t="shared" si="3"/>
        <v>0.8333333333333334</v>
      </c>
      <c r="K33" s="9"/>
      <c r="L33">
        <f>14.54/20</f>
        <v>0.727</v>
      </c>
    </row>
    <row r="34" spans="1:12" ht="12.75">
      <c r="A34" t="s">
        <v>181</v>
      </c>
      <c r="B34" s="18">
        <v>9112</v>
      </c>
      <c r="C34" s="1" t="s">
        <v>182</v>
      </c>
      <c r="D34" s="10">
        <v>200</v>
      </c>
      <c r="E34" s="10">
        <v>900</v>
      </c>
      <c r="F34" s="12">
        <f t="shared" si="0"/>
        <v>359.651067226718</v>
      </c>
      <c r="G34" s="12">
        <f t="shared" si="1"/>
        <v>180</v>
      </c>
      <c r="H34" s="9">
        <f t="shared" si="2"/>
        <v>11.571428571428571</v>
      </c>
      <c r="I34" s="40">
        <f t="shared" si="3"/>
        <v>0.7894736842105263</v>
      </c>
      <c r="J34" s="10"/>
      <c r="K34" s="13"/>
      <c r="L34">
        <f>14.54/20</f>
        <v>0.727</v>
      </c>
    </row>
    <row r="35" spans="1:12" ht="12.75">
      <c r="A35" t="s">
        <v>181</v>
      </c>
      <c r="B35" s="18">
        <v>9113</v>
      </c>
      <c r="C35" s="11" t="s">
        <v>183</v>
      </c>
      <c r="D35" s="10">
        <v>200</v>
      </c>
      <c r="E35" s="10">
        <v>1055</v>
      </c>
      <c r="F35" s="12">
        <f t="shared" si="0"/>
        <v>494.19830753088615</v>
      </c>
      <c r="G35" s="12">
        <f t="shared" si="1"/>
        <v>211</v>
      </c>
      <c r="H35" s="9">
        <f t="shared" si="2"/>
        <v>13.564285714285715</v>
      </c>
      <c r="I35" s="40">
        <f t="shared" si="3"/>
        <v>0.9254385964912281</v>
      </c>
      <c r="J35" s="14"/>
      <c r="K35" s="15"/>
      <c r="L35">
        <f>15.52/20</f>
        <v>0.776</v>
      </c>
    </row>
    <row r="36" spans="1:12" ht="12.75">
      <c r="A36" t="s">
        <v>181</v>
      </c>
      <c r="B36" s="18">
        <v>9096</v>
      </c>
      <c r="C36" s="11" t="s">
        <v>183</v>
      </c>
      <c r="D36" s="10">
        <v>230</v>
      </c>
      <c r="E36" s="10">
        <v>950</v>
      </c>
      <c r="F36" s="12">
        <f t="shared" si="0"/>
        <v>460.83068073818515</v>
      </c>
      <c r="G36" s="12">
        <f t="shared" si="1"/>
        <v>218.5</v>
      </c>
      <c r="H36" s="9">
        <f t="shared" si="2"/>
        <v>14.04642857142857</v>
      </c>
      <c r="I36" s="40">
        <f t="shared" si="3"/>
        <v>0.8333333333333334</v>
      </c>
      <c r="L36">
        <f>15.52/20</f>
        <v>0.776</v>
      </c>
    </row>
    <row r="37" ht="12.75">
      <c r="G37" s="5"/>
    </row>
    <row r="38" ht="12.75">
      <c r="G38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I3" sqref="I3"/>
    </sheetView>
  </sheetViews>
  <sheetFormatPr defaultColWidth="9.140625" defaultRowHeight="12.75"/>
  <sheetData>
    <row r="1" spans="1:17" ht="26.25">
      <c r="A1" s="41" t="s">
        <v>290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8"/>
      <c r="O1" s="28"/>
      <c r="P1" s="28"/>
      <c r="Q1" s="28"/>
    </row>
    <row r="2" spans="1:18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7" t="s">
        <v>259</v>
      </c>
      <c r="K2" s="3" t="s">
        <v>5</v>
      </c>
      <c r="L2" s="8" t="s">
        <v>6</v>
      </c>
      <c r="M2" s="23" t="s">
        <v>179</v>
      </c>
      <c r="N2" s="23"/>
      <c r="O2" s="4"/>
      <c r="P2" s="4"/>
      <c r="Q2" s="4"/>
      <c r="R2" s="4"/>
    </row>
    <row r="3" spans="1:16" ht="12.75">
      <c r="A3" t="s">
        <v>8</v>
      </c>
      <c r="B3" s="7"/>
      <c r="C3" s="1" t="s">
        <v>26</v>
      </c>
      <c r="D3">
        <v>140</v>
      </c>
      <c r="E3">
        <v>880</v>
      </c>
      <c r="F3" s="5">
        <f>0.5*D3*$Q$8*E3*E3</f>
        <v>240.6909265706905</v>
      </c>
      <c r="G3" s="5">
        <f>D3*E3/1000</f>
        <v>123.2</v>
      </c>
      <c r="H3" s="9">
        <f>0.45*D3*E3/7000</f>
        <v>7.92</v>
      </c>
      <c r="I3" s="40">
        <f>E3/$Q$7</f>
        <v>0.7719298245614035</v>
      </c>
      <c r="J3" s="38">
        <v>0.21</v>
      </c>
      <c r="L3" s="9"/>
      <c r="M3" s="22"/>
      <c r="N3" s="22"/>
      <c r="P3" t="s">
        <v>19</v>
      </c>
    </row>
    <row r="4" spans="1:18" ht="12.75">
      <c r="A4" t="s">
        <v>8</v>
      </c>
      <c r="B4" s="7"/>
      <c r="C4" s="1" t="s">
        <v>289</v>
      </c>
      <c r="D4">
        <v>185</v>
      </c>
      <c r="E4">
        <v>1090</v>
      </c>
      <c r="F4" s="5">
        <f>0.5*D4*$Q$8*E4*E4</f>
        <v>487.9676858014307</v>
      </c>
      <c r="G4" s="5">
        <f>D4*E4/1000</f>
        <v>201.65</v>
      </c>
      <c r="H4" s="9">
        <f>0.45*D4*E4/7000</f>
        <v>12.963214285714285</v>
      </c>
      <c r="I4" s="40">
        <f aca="true" t="shared" si="0" ref="I4:I12">E4/$Q$7</f>
        <v>0.956140350877193</v>
      </c>
      <c r="J4" s="38">
        <v>0.097</v>
      </c>
      <c r="L4" s="9"/>
      <c r="M4" s="22"/>
      <c r="N4" s="22"/>
      <c r="P4" t="s">
        <v>20</v>
      </c>
      <c r="Q4">
        <v>0.0647989</v>
      </c>
      <c r="R4" t="s">
        <v>21</v>
      </c>
    </row>
    <row r="5" spans="1:18" ht="12.75">
      <c r="A5" t="s">
        <v>8</v>
      </c>
      <c r="B5" s="7"/>
      <c r="C5" s="1" t="s">
        <v>16</v>
      </c>
      <c r="D5">
        <v>185</v>
      </c>
      <c r="E5">
        <v>1090</v>
      </c>
      <c r="F5" s="5">
        <f>0.5*D5*$Q$8*E5*E5</f>
        <v>487.9676858014307</v>
      </c>
      <c r="G5" s="5">
        <f>D5*E5/1000</f>
        <v>201.65</v>
      </c>
      <c r="H5" s="9">
        <f>0.45*D5*E5/7000</f>
        <v>12.963214285714285</v>
      </c>
      <c r="I5" s="40">
        <f t="shared" si="0"/>
        <v>0.956140350877193</v>
      </c>
      <c r="J5" s="38">
        <v>0.097</v>
      </c>
      <c r="L5" s="9"/>
      <c r="M5" s="22"/>
      <c r="N5" s="22"/>
      <c r="P5" t="s">
        <v>22</v>
      </c>
      <c r="Q5">
        <v>0.3048</v>
      </c>
      <c r="R5" t="s">
        <v>23</v>
      </c>
    </row>
    <row r="6" spans="1:18" ht="12.75">
      <c r="A6" t="s">
        <v>8</v>
      </c>
      <c r="B6" s="7"/>
      <c r="C6" s="1" t="s">
        <v>16</v>
      </c>
      <c r="D6">
        <v>230</v>
      </c>
      <c r="E6">
        <v>880</v>
      </c>
      <c r="F6" s="5">
        <f>0.5*D6*$Q$8*E6*E6</f>
        <v>395.420807937563</v>
      </c>
      <c r="G6" s="5">
        <f>D6*E6/1000</f>
        <v>202.4</v>
      </c>
      <c r="H6" s="9">
        <f>0.45*D6*E6/7000</f>
        <v>13.01142857142857</v>
      </c>
      <c r="I6" s="40">
        <f t="shared" si="0"/>
        <v>0.7719298245614035</v>
      </c>
      <c r="J6" s="38">
        <v>0.21</v>
      </c>
      <c r="L6" s="9"/>
      <c r="M6" s="22"/>
      <c r="N6" s="22"/>
      <c r="P6" t="s">
        <v>24</v>
      </c>
      <c r="Q6">
        <v>340</v>
      </c>
      <c r="R6" t="s">
        <v>23</v>
      </c>
    </row>
    <row r="7" spans="1:18" ht="12.75">
      <c r="A7" t="s">
        <v>44</v>
      </c>
      <c r="B7" s="7"/>
      <c r="C7" s="1" t="s">
        <v>18</v>
      </c>
      <c r="D7">
        <v>230</v>
      </c>
      <c r="E7">
        <v>880</v>
      </c>
      <c r="F7" s="5">
        <f aca="true" t="shared" si="1" ref="F7:F12">0.5*D7*$Q$8*E7*E7</f>
        <v>395.420807937563</v>
      </c>
      <c r="G7" s="5">
        <f aca="true" t="shared" si="2" ref="G7:G12">D7*E7/1000</f>
        <v>202.4</v>
      </c>
      <c r="H7" s="9">
        <f aca="true" t="shared" si="3" ref="H7:H12">0.45*D7*E7/7000</f>
        <v>13.01142857142857</v>
      </c>
      <c r="I7" s="40">
        <f t="shared" si="0"/>
        <v>0.7719298245614035</v>
      </c>
      <c r="J7" s="38"/>
      <c r="L7" s="9"/>
      <c r="M7" s="22"/>
      <c r="N7" s="22"/>
      <c r="Q7">
        <v>1140</v>
      </c>
      <c r="R7" t="s">
        <v>25</v>
      </c>
    </row>
    <row r="8" spans="1:18" ht="12.75">
      <c r="A8" t="s">
        <v>27</v>
      </c>
      <c r="C8" s="1" t="s">
        <v>26</v>
      </c>
      <c r="D8">
        <v>185</v>
      </c>
      <c r="E8">
        <v>850</v>
      </c>
      <c r="F8" s="5">
        <f t="shared" si="1"/>
        <v>296.73988131599504</v>
      </c>
      <c r="G8" s="5">
        <f t="shared" si="2"/>
        <v>157.25</v>
      </c>
      <c r="H8" s="9">
        <f t="shared" si="3"/>
        <v>10.10892857142857</v>
      </c>
      <c r="I8" s="40">
        <f t="shared" si="0"/>
        <v>0.7456140350877193</v>
      </c>
      <c r="N8" s="22"/>
      <c r="P8" t="s">
        <v>20</v>
      </c>
      <c r="Q8">
        <f>1*0.00006479891/14.5939</f>
        <v>4.440136632428617E-06</v>
      </c>
      <c r="R8" t="s">
        <v>28</v>
      </c>
    </row>
    <row r="9" spans="1:16" ht="12.75">
      <c r="A9" t="s">
        <v>27</v>
      </c>
      <c r="B9" s="7"/>
      <c r="C9" s="1" t="s">
        <v>18</v>
      </c>
      <c r="D9">
        <v>230</v>
      </c>
      <c r="E9">
        <v>880</v>
      </c>
      <c r="F9" s="5">
        <f t="shared" si="1"/>
        <v>395.420807937563</v>
      </c>
      <c r="G9" s="5">
        <f t="shared" si="2"/>
        <v>202.4</v>
      </c>
      <c r="H9" s="9">
        <f t="shared" si="3"/>
        <v>13.01142857142857</v>
      </c>
      <c r="I9" s="40">
        <f t="shared" si="0"/>
        <v>0.7719298245614035</v>
      </c>
      <c r="J9" s="38"/>
      <c r="L9" s="9"/>
      <c r="M9" s="22"/>
      <c r="N9" s="22"/>
      <c r="P9" t="s">
        <v>288</v>
      </c>
    </row>
    <row r="10" spans="1:14" ht="12.75">
      <c r="A10" t="s">
        <v>27</v>
      </c>
      <c r="B10" s="7"/>
      <c r="C10" s="1" t="s">
        <v>291</v>
      </c>
      <c r="D10">
        <v>230</v>
      </c>
      <c r="E10">
        <v>1000</v>
      </c>
      <c r="F10" s="5">
        <f t="shared" si="1"/>
        <v>510.6157127292911</v>
      </c>
      <c r="G10" s="5">
        <f t="shared" si="2"/>
        <v>230</v>
      </c>
      <c r="H10" s="9">
        <f t="shared" si="3"/>
        <v>14.785714285714286</v>
      </c>
      <c r="I10" s="40">
        <f t="shared" si="0"/>
        <v>0.8771929824561403</v>
      </c>
      <c r="J10" s="38"/>
      <c r="L10" s="9"/>
      <c r="M10" s="22"/>
      <c r="N10" s="22"/>
    </row>
    <row r="11" spans="1:14" ht="12.75">
      <c r="A11" t="s">
        <v>27</v>
      </c>
      <c r="B11" s="2"/>
      <c r="C11" s="1" t="s">
        <v>294</v>
      </c>
      <c r="D11">
        <v>230</v>
      </c>
      <c r="E11">
        <v>875</v>
      </c>
      <c r="F11" s="5">
        <f t="shared" si="1"/>
        <v>390.9401550583634</v>
      </c>
      <c r="G11" s="5">
        <f t="shared" si="2"/>
        <v>201.25</v>
      </c>
      <c r="H11" s="9">
        <f t="shared" si="3"/>
        <v>12.9375</v>
      </c>
      <c r="I11" s="40">
        <f t="shared" si="0"/>
        <v>0.7675438596491229</v>
      </c>
      <c r="J11" s="38"/>
      <c r="L11" s="9"/>
      <c r="M11" s="22"/>
      <c r="N11" s="22"/>
    </row>
    <row r="12" spans="1:14" ht="12.75">
      <c r="A12" t="s">
        <v>38</v>
      </c>
      <c r="B12" s="2"/>
      <c r="C12" s="1" t="s">
        <v>39</v>
      </c>
      <c r="D12">
        <v>200</v>
      </c>
      <c r="E12">
        <v>950</v>
      </c>
      <c r="F12" s="5">
        <f t="shared" si="1"/>
        <v>400.72233107668274</v>
      </c>
      <c r="G12" s="5">
        <f t="shared" si="2"/>
        <v>190</v>
      </c>
      <c r="H12" s="9">
        <f t="shared" si="3"/>
        <v>12.214285714285714</v>
      </c>
      <c r="I12" s="40">
        <f t="shared" si="0"/>
        <v>0.8333333333333334</v>
      </c>
      <c r="J12" s="38"/>
      <c r="L12" s="9"/>
      <c r="M12" s="22"/>
      <c r="N12" s="22"/>
    </row>
    <row r="13" spans="2:14" ht="12.75">
      <c r="B13" s="2"/>
      <c r="C13" s="1"/>
      <c r="F13" s="5"/>
      <c r="G13" s="5"/>
      <c r="H13" s="9"/>
      <c r="I13" s="5"/>
      <c r="J13" s="38"/>
      <c r="L13" s="9"/>
      <c r="M13" s="22"/>
      <c r="N13" s="22"/>
    </row>
    <row r="14" spans="2:14" ht="12.75">
      <c r="B14" s="2"/>
      <c r="F14" s="5"/>
      <c r="G14" s="5"/>
      <c r="H14" s="9"/>
      <c r="I14" s="5"/>
      <c r="J14" s="38"/>
      <c r="L14" s="9"/>
      <c r="M14" s="22"/>
      <c r="N14" s="22"/>
    </row>
    <row r="15" spans="2:14" ht="12.75">
      <c r="B15" s="2"/>
      <c r="F15" s="5"/>
      <c r="G15" s="5"/>
      <c r="H15" s="9"/>
      <c r="I15" s="5"/>
      <c r="J15" s="38"/>
      <c r="L15" s="9"/>
      <c r="M15" s="22"/>
      <c r="N15" s="22"/>
    </row>
    <row r="16" spans="2:14" ht="12.75">
      <c r="B16" s="2"/>
      <c r="C16" s="1"/>
      <c r="F16" s="5"/>
      <c r="G16" s="5"/>
      <c r="H16" s="9"/>
      <c r="I16" s="5"/>
      <c r="J16" s="38"/>
      <c r="L16" s="9"/>
      <c r="M16" s="22"/>
      <c r="N16" s="22"/>
    </row>
    <row r="17" spans="2:14" ht="12.75">
      <c r="B17" s="2"/>
      <c r="C17" s="1"/>
      <c r="F17" s="5"/>
      <c r="G17" s="5"/>
      <c r="H17" s="9"/>
      <c r="I17" s="5"/>
      <c r="J17" s="38"/>
      <c r="L17" s="9"/>
      <c r="M17" s="22"/>
      <c r="N17" s="22"/>
    </row>
    <row r="18" spans="2:14" ht="12.75">
      <c r="B18" s="2"/>
      <c r="C18" s="1"/>
      <c r="F18" s="5"/>
      <c r="G18" s="5"/>
      <c r="H18" s="9"/>
      <c r="I18" s="5"/>
      <c r="J18" s="38"/>
      <c r="L18" s="9"/>
      <c r="M18" s="22"/>
      <c r="N18" s="22"/>
    </row>
    <row r="19" spans="2:14" ht="12.75">
      <c r="B19" s="2"/>
      <c r="C19" s="1"/>
      <c r="F19" s="5"/>
      <c r="G19" s="5"/>
      <c r="H19" s="9"/>
      <c r="I19" s="5"/>
      <c r="J19" s="38"/>
      <c r="L19" s="9"/>
      <c r="M19" s="22"/>
      <c r="N19" s="22"/>
    </row>
    <row r="20" spans="2:14" ht="12.75">
      <c r="B20" s="2"/>
      <c r="C20" s="1"/>
      <c r="F20" s="5"/>
      <c r="G20" s="5"/>
      <c r="H20" s="9"/>
      <c r="I20" s="5"/>
      <c r="J20" s="38"/>
      <c r="L20" s="9"/>
      <c r="M20" s="22"/>
      <c r="N20" s="22"/>
    </row>
    <row r="21" spans="2:14" ht="12.75">
      <c r="B21" s="2"/>
      <c r="C21" s="1"/>
      <c r="F21" s="5"/>
      <c r="G21" s="5"/>
      <c r="H21" s="9"/>
      <c r="I21" s="5"/>
      <c r="J21" s="38"/>
      <c r="L21" s="9"/>
      <c r="M21" s="22"/>
      <c r="N21" s="22"/>
    </row>
    <row r="22" spans="2:14" ht="12.75">
      <c r="B22" s="2"/>
      <c r="C22" s="1"/>
      <c r="F22" s="5"/>
      <c r="G22" s="5"/>
      <c r="H22" s="9"/>
      <c r="I22" s="5"/>
      <c r="J22" s="38"/>
      <c r="L22" s="9"/>
      <c r="M22" s="22"/>
      <c r="N22" s="22"/>
    </row>
    <row r="23" spans="3:14" ht="12.75">
      <c r="C23" s="1"/>
      <c r="F23" s="5"/>
      <c r="G23" s="5"/>
      <c r="H23" s="9"/>
      <c r="I23" s="5"/>
      <c r="J23" s="38"/>
      <c r="L23" s="9"/>
      <c r="M23" s="22"/>
      <c r="N23" s="22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F7" sqref="F7"/>
    </sheetView>
  </sheetViews>
  <sheetFormatPr defaultColWidth="9.140625" defaultRowHeight="12.75"/>
  <cols>
    <col min="1" max="1" width="12.57421875" style="0" customWidth="1"/>
    <col min="2" max="2" width="14.57421875" style="0" customWidth="1"/>
  </cols>
  <sheetData>
    <row r="1" spans="1:16" ht="26.25">
      <c r="A1" s="41" t="s">
        <v>219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8"/>
      <c r="N1" s="28"/>
      <c r="O1" s="28"/>
      <c r="P1" s="28"/>
    </row>
    <row r="2" spans="1:17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" t="s">
        <v>5</v>
      </c>
      <c r="K2" s="8" t="s">
        <v>6</v>
      </c>
      <c r="L2" s="23" t="s">
        <v>179</v>
      </c>
      <c r="M2" s="23"/>
      <c r="N2" s="4"/>
      <c r="O2" s="4"/>
      <c r="P2" s="4"/>
      <c r="Q2" s="4"/>
    </row>
    <row r="3" spans="1:16" ht="12.75">
      <c r="A3" t="s">
        <v>220</v>
      </c>
      <c r="B3" t="s">
        <v>222</v>
      </c>
      <c r="C3" s="31" t="s">
        <v>221</v>
      </c>
      <c r="D3">
        <v>350</v>
      </c>
      <c r="E3">
        <v>1270</v>
      </c>
      <c r="F3" s="5">
        <f aca="true" t="shared" si="0" ref="F3:F8">0.5*D3*$Q$8*E3*E3</f>
        <v>1253.2618655277204</v>
      </c>
      <c r="G3" s="5">
        <f aca="true" t="shared" si="1" ref="G3:G8">D3*E3/1000</f>
        <v>444.5</v>
      </c>
      <c r="H3" s="9">
        <f aca="true" t="shared" si="2" ref="H3:H8">0.5*D3*E3/7000</f>
        <v>31.75</v>
      </c>
      <c r="I3" s="40">
        <f aca="true" t="shared" si="3" ref="I3:I8">E3/$Q$7</f>
        <v>1.1140350877192982</v>
      </c>
      <c r="K3" s="9"/>
      <c r="L3" s="22">
        <f>24/20</f>
        <v>1.2</v>
      </c>
      <c r="M3" s="22"/>
      <c r="P3" t="s">
        <v>19</v>
      </c>
    </row>
    <row r="4" spans="1:18" ht="12.75">
      <c r="A4" t="s">
        <v>220</v>
      </c>
      <c r="B4" t="s">
        <v>224</v>
      </c>
      <c r="C4" s="1" t="s">
        <v>18</v>
      </c>
      <c r="D4">
        <v>300</v>
      </c>
      <c r="E4">
        <v>1516</v>
      </c>
      <c r="F4" s="5">
        <f t="shared" si="0"/>
        <v>1530.6855984448296</v>
      </c>
      <c r="G4" s="5">
        <f t="shared" si="1"/>
        <v>454.8</v>
      </c>
      <c r="H4" s="9">
        <f t="shared" si="2"/>
        <v>32.48571428571429</v>
      </c>
      <c r="I4" s="40">
        <f t="shared" si="3"/>
        <v>1.3298245614035087</v>
      </c>
      <c r="K4" s="9"/>
      <c r="L4" s="22">
        <f>24/20</f>
        <v>1.2</v>
      </c>
      <c r="M4" s="22"/>
      <c r="P4" t="s">
        <v>20</v>
      </c>
      <c r="Q4">
        <v>0.0647989</v>
      </c>
      <c r="R4" t="s">
        <v>21</v>
      </c>
    </row>
    <row r="5" spans="1:18" ht="12.75">
      <c r="A5" t="s">
        <v>225</v>
      </c>
      <c r="B5" t="s">
        <v>226</v>
      </c>
      <c r="C5" s="1" t="s">
        <v>221</v>
      </c>
      <c r="D5">
        <v>300</v>
      </c>
      <c r="E5">
        <v>1399</v>
      </c>
      <c r="F5" s="5">
        <f t="shared" si="0"/>
        <v>1303.5359785688884</v>
      </c>
      <c r="G5" s="5">
        <f t="shared" si="1"/>
        <v>419.7</v>
      </c>
      <c r="H5" s="9">
        <f t="shared" si="2"/>
        <v>29.978571428571428</v>
      </c>
      <c r="I5" s="40">
        <f t="shared" si="3"/>
        <v>1.2271929824561403</v>
      </c>
      <c r="K5" s="9"/>
      <c r="L5" s="22">
        <f>24/20</f>
        <v>1.2</v>
      </c>
      <c r="M5" s="22"/>
      <c r="P5" t="s">
        <v>22</v>
      </c>
      <c r="Q5">
        <v>0.3048</v>
      </c>
      <c r="R5" t="s">
        <v>23</v>
      </c>
    </row>
    <row r="6" spans="1:18" ht="12.75">
      <c r="A6" t="s">
        <v>225</v>
      </c>
      <c r="B6" t="s">
        <v>227</v>
      </c>
      <c r="C6" s="1" t="s">
        <v>18</v>
      </c>
      <c r="D6">
        <v>300</v>
      </c>
      <c r="E6">
        <v>1394</v>
      </c>
      <c r="F6" s="5">
        <f t="shared" si="0"/>
        <v>1294.2350023581084</v>
      </c>
      <c r="G6" s="5">
        <f t="shared" si="1"/>
        <v>418.2</v>
      </c>
      <c r="H6" s="9">
        <f t="shared" si="2"/>
        <v>29.87142857142857</v>
      </c>
      <c r="I6" s="40">
        <f t="shared" si="3"/>
        <v>1.2228070175438597</v>
      </c>
      <c r="K6" s="9"/>
      <c r="L6" s="22">
        <f>24/20</f>
        <v>1.2</v>
      </c>
      <c r="M6" s="22"/>
      <c r="P6" t="s">
        <v>24</v>
      </c>
      <c r="Q6">
        <v>340</v>
      </c>
      <c r="R6" t="s">
        <v>23</v>
      </c>
    </row>
    <row r="7" spans="1:18" ht="12.75">
      <c r="A7" t="s">
        <v>38</v>
      </c>
      <c r="C7" s="1" t="s">
        <v>39</v>
      </c>
      <c r="D7">
        <v>300</v>
      </c>
      <c r="E7">
        <v>1550</v>
      </c>
      <c r="F7" s="5">
        <f t="shared" si="0"/>
        <v>1600.114238911463</v>
      </c>
      <c r="G7" s="5">
        <f t="shared" si="1"/>
        <v>465</v>
      </c>
      <c r="H7" s="9">
        <f t="shared" si="2"/>
        <v>33.214285714285715</v>
      </c>
      <c r="I7" s="40">
        <f t="shared" si="3"/>
        <v>1.3596491228070176</v>
      </c>
      <c r="M7" s="22"/>
      <c r="Q7">
        <v>1140</v>
      </c>
      <c r="R7" t="s">
        <v>25</v>
      </c>
    </row>
    <row r="8" spans="1:18" ht="12.75">
      <c r="A8" t="s">
        <v>38</v>
      </c>
      <c r="B8" s="7"/>
      <c r="C8" s="1" t="s">
        <v>298</v>
      </c>
      <c r="D8">
        <v>325</v>
      </c>
      <c r="E8">
        <v>1400</v>
      </c>
      <c r="F8" s="5">
        <f t="shared" si="0"/>
        <v>1414.1835174285145</v>
      </c>
      <c r="G8" s="5">
        <f t="shared" si="1"/>
        <v>455</v>
      </c>
      <c r="H8" s="9">
        <f t="shared" si="2"/>
        <v>32.5</v>
      </c>
      <c r="I8" s="40">
        <f t="shared" si="3"/>
        <v>1.2280701754385965</v>
      </c>
      <c r="K8" s="9"/>
      <c r="L8" s="22"/>
      <c r="M8" s="22"/>
      <c r="P8" t="s">
        <v>20</v>
      </c>
      <c r="Q8">
        <f>1*0.00006479891/14.5939</f>
        <v>4.440136632428617E-06</v>
      </c>
      <c r="R8" t="s">
        <v>28</v>
      </c>
    </row>
    <row r="9" spans="2:16" ht="12.75">
      <c r="B9" s="7"/>
      <c r="C9" s="1"/>
      <c r="F9" s="5"/>
      <c r="G9" s="5"/>
      <c r="H9" s="9"/>
      <c r="I9" s="5"/>
      <c r="K9" s="9"/>
      <c r="L9" s="22"/>
      <c r="M9" s="22"/>
      <c r="P9" t="s">
        <v>223</v>
      </c>
    </row>
    <row r="10" spans="2:13" ht="12.75">
      <c r="B10" s="7"/>
      <c r="C10" s="1"/>
      <c r="F10" s="5"/>
      <c r="G10" s="5"/>
      <c r="H10" s="9"/>
      <c r="I10" s="5"/>
      <c r="K10" s="9"/>
      <c r="L10" s="22"/>
      <c r="M10" s="22"/>
    </row>
    <row r="11" spans="2:13" ht="12.75">
      <c r="B11" s="2"/>
      <c r="C11" s="1"/>
      <c r="F11" s="5"/>
      <c r="G11" s="5"/>
      <c r="H11" s="9"/>
      <c r="I11" s="5"/>
      <c r="K11" s="9"/>
      <c r="L11" s="22"/>
      <c r="M11" s="22"/>
    </row>
    <row r="12" spans="2:13" ht="12.75">
      <c r="B12" s="2"/>
      <c r="C12" s="1"/>
      <c r="F12" s="5"/>
      <c r="G12" s="5"/>
      <c r="H12" s="9"/>
      <c r="I12" s="5"/>
      <c r="K12" s="9"/>
      <c r="L12" s="22"/>
      <c r="M12" s="22"/>
    </row>
    <row r="13" spans="2:13" ht="12.75">
      <c r="B13" s="2"/>
      <c r="C13" s="1"/>
      <c r="F13" s="5"/>
      <c r="G13" s="5"/>
      <c r="H13" s="9"/>
      <c r="I13" s="5"/>
      <c r="K13" s="9"/>
      <c r="L13" s="22"/>
      <c r="M13" s="22"/>
    </row>
    <row r="14" spans="2:13" ht="12.75">
      <c r="B14" s="2"/>
      <c r="F14" s="5"/>
      <c r="G14" s="5"/>
      <c r="H14" s="9"/>
      <c r="I14" s="5"/>
      <c r="K14" s="9"/>
      <c r="L14" s="22"/>
      <c r="M14" s="22"/>
    </row>
    <row r="15" spans="2:13" ht="12.75">
      <c r="B15" s="2"/>
      <c r="F15" s="5"/>
      <c r="G15" s="5"/>
      <c r="H15" s="9"/>
      <c r="I15" s="5"/>
      <c r="K15" s="9"/>
      <c r="L15" s="22"/>
      <c r="M15" s="22"/>
    </row>
    <row r="16" spans="2:13" ht="12.75">
      <c r="B16" s="2"/>
      <c r="C16" s="1"/>
      <c r="F16" s="5"/>
      <c r="G16" s="5"/>
      <c r="H16" s="9"/>
      <c r="I16" s="5"/>
      <c r="K16" s="9"/>
      <c r="L16" s="22"/>
      <c r="M16" s="22"/>
    </row>
    <row r="17" spans="2:13" ht="12.75">
      <c r="B17" s="2"/>
      <c r="C17" s="1"/>
      <c r="F17" s="5"/>
      <c r="G17" s="5"/>
      <c r="H17" s="9"/>
      <c r="I17" s="5"/>
      <c r="K17" s="9"/>
      <c r="L17" s="22"/>
      <c r="M17" s="22"/>
    </row>
    <row r="18" spans="2:13" ht="12.75">
      <c r="B18" s="2"/>
      <c r="C18" s="1"/>
      <c r="F18" s="5"/>
      <c r="G18" s="5"/>
      <c r="H18" s="9"/>
      <c r="I18" s="5"/>
      <c r="K18" s="9"/>
      <c r="L18" s="22"/>
      <c r="M18" s="22"/>
    </row>
    <row r="19" spans="2:13" ht="12.75">
      <c r="B19" s="2"/>
      <c r="C19" s="1"/>
      <c r="F19" s="5"/>
      <c r="G19" s="5"/>
      <c r="H19" s="9"/>
      <c r="I19" s="5"/>
      <c r="K19" s="9"/>
      <c r="L19" s="22"/>
      <c r="M19" s="22"/>
    </row>
    <row r="20" spans="2:13" ht="12.75">
      <c r="B20" s="2"/>
      <c r="C20" s="1"/>
      <c r="F20" s="5"/>
      <c r="G20" s="5"/>
      <c r="H20" s="9"/>
      <c r="I20" s="5"/>
      <c r="K20" s="9"/>
      <c r="L20" s="22"/>
      <c r="M20" s="22"/>
    </row>
    <row r="21" spans="2:13" ht="12.75">
      <c r="B21" s="2"/>
      <c r="C21" s="1"/>
      <c r="F21" s="5"/>
      <c r="G21" s="5"/>
      <c r="H21" s="9"/>
      <c r="I21" s="5"/>
      <c r="K21" s="9"/>
      <c r="L21" s="22"/>
      <c r="M21" s="22"/>
    </row>
    <row r="22" spans="2:13" ht="12.75">
      <c r="B22" s="2"/>
      <c r="C22" s="1"/>
      <c r="F22" s="5"/>
      <c r="G22" s="5"/>
      <c r="H22" s="9"/>
      <c r="I22" s="5"/>
      <c r="K22" s="9"/>
      <c r="L22" s="22"/>
      <c r="M22" s="22"/>
    </row>
    <row r="23" spans="3:13" ht="12.75">
      <c r="C23" s="1"/>
      <c r="F23" s="5"/>
      <c r="G23" s="5"/>
      <c r="H23" s="9"/>
      <c r="I23" s="5"/>
      <c r="K23" s="9"/>
      <c r="L23" s="22"/>
      <c r="M23" s="22"/>
    </row>
    <row r="24" spans="1:13" ht="12.75">
      <c r="A24" s="10"/>
      <c r="B24" s="10"/>
      <c r="C24" s="11"/>
      <c r="D24" s="10"/>
      <c r="E24" s="10"/>
      <c r="F24" s="12"/>
      <c r="G24" s="12"/>
      <c r="H24" s="9"/>
      <c r="I24" s="5"/>
      <c r="J24" s="10"/>
      <c r="K24" s="13"/>
      <c r="L24" s="22"/>
      <c r="M24" s="22"/>
    </row>
    <row r="25" spans="1:13" ht="12.75">
      <c r="A25" s="10"/>
      <c r="B25" s="10"/>
      <c r="C25" s="11"/>
      <c r="D25" s="10"/>
      <c r="E25" s="10"/>
      <c r="F25" s="12"/>
      <c r="G25" s="12"/>
      <c r="H25" s="9"/>
      <c r="I25" s="5"/>
      <c r="J25" s="10"/>
      <c r="K25" s="13"/>
      <c r="L25" s="22"/>
      <c r="M25" s="22"/>
    </row>
    <row r="26" spans="3:13" ht="12.75">
      <c r="C26" s="1"/>
      <c r="F26" s="5"/>
      <c r="G26" s="5"/>
      <c r="H26" s="9"/>
      <c r="I26" s="5"/>
      <c r="K26" s="9"/>
      <c r="L26" s="22"/>
      <c r="M26" s="22"/>
    </row>
    <row r="27" spans="3:13" ht="12.75">
      <c r="C27" s="1"/>
      <c r="F27" s="5"/>
      <c r="G27" s="5"/>
      <c r="H27" s="9"/>
      <c r="I27" s="5"/>
      <c r="K27" s="9"/>
      <c r="L27" s="22"/>
      <c r="M27" s="22"/>
    </row>
    <row r="28" spans="3:13" ht="12.75">
      <c r="C28" s="1"/>
      <c r="F28" s="5"/>
      <c r="G28" s="5"/>
      <c r="H28" s="9"/>
      <c r="I28" s="5"/>
      <c r="K28" s="9"/>
      <c r="L28" s="22"/>
      <c r="M28" s="22"/>
    </row>
    <row r="29" spans="3:13" ht="12.75">
      <c r="C29" s="1"/>
      <c r="F29" s="5"/>
      <c r="G29" s="5"/>
      <c r="H29" s="9"/>
      <c r="I29" s="5"/>
      <c r="K29" s="9"/>
      <c r="L29" s="22"/>
      <c r="M29" s="22"/>
    </row>
    <row r="30" spans="3:13" ht="12.75">
      <c r="C30" s="1"/>
      <c r="F30" s="5"/>
      <c r="G30" s="5"/>
      <c r="H30" s="9"/>
      <c r="I30" s="5"/>
      <c r="K30" s="9"/>
      <c r="L30" s="22"/>
      <c r="M30" s="22"/>
    </row>
    <row r="31" spans="3:13" ht="12.75">
      <c r="C31" s="1"/>
      <c r="F31" s="5"/>
      <c r="G31" s="5"/>
      <c r="H31" s="9"/>
      <c r="I31" s="5"/>
      <c r="K31" s="9"/>
      <c r="L31" s="22"/>
      <c r="M31" s="22"/>
    </row>
    <row r="32" spans="3:13" ht="12.75">
      <c r="C32" s="1"/>
      <c r="F32" s="5"/>
      <c r="G32" s="5"/>
      <c r="H32" s="9"/>
      <c r="I32" s="5"/>
      <c r="K32" s="9"/>
      <c r="L32" s="22"/>
      <c r="M32" s="22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selection activeCell="M4" sqref="M4"/>
    </sheetView>
  </sheetViews>
  <sheetFormatPr defaultColWidth="9.140625" defaultRowHeight="12.75"/>
  <cols>
    <col min="1" max="1" width="10.00390625" style="0" customWidth="1"/>
    <col min="2" max="2" width="11.00390625" style="0" customWidth="1"/>
    <col min="9" max="9" width="9.140625" style="40" customWidth="1"/>
  </cols>
  <sheetData>
    <row r="1" spans="1:17" ht="26.25">
      <c r="A1" s="41" t="s">
        <v>271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8"/>
      <c r="O1" s="28"/>
      <c r="P1" s="28"/>
      <c r="Q1" s="28"/>
    </row>
    <row r="2" spans="1:21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9" t="s">
        <v>300</v>
      </c>
      <c r="J2" s="37" t="s">
        <v>259</v>
      </c>
      <c r="K2" s="3" t="s">
        <v>5</v>
      </c>
      <c r="L2" s="8" t="s">
        <v>6</v>
      </c>
      <c r="M2" s="23" t="s">
        <v>179</v>
      </c>
      <c r="N2" s="23"/>
      <c r="O2" s="4"/>
      <c r="P2" s="4"/>
      <c r="Q2" s="4"/>
      <c r="R2" s="4"/>
      <c r="S2" s="4"/>
      <c r="T2" s="4"/>
      <c r="U2" s="4"/>
    </row>
    <row r="3" spans="1:16" ht="12.75">
      <c r="A3" t="s">
        <v>8</v>
      </c>
      <c r="B3" s="7"/>
      <c r="C3" s="1" t="s">
        <v>268</v>
      </c>
      <c r="D3">
        <v>31</v>
      </c>
      <c r="E3">
        <v>1550</v>
      </c>
      <c r="F3" s="5">
        <f aca="true" t="shared" si="0" ref="F3:F26">0.5*D3*$Q$8*E3*E3</f>
        <v>165.34513802085115</v>
      </c>
      <c r="G3" s="5">
        <f aca="true" t="shared" si="1" ref="G3:G26">D3*E3/1000</f>
        <v>48.05</v>
      </c>
      <c r="H3" s="9">
        <f aca="true" t="shared" si="2" ref="H3:H26">0.224*D3*E3/7000</f>
        <v>1.5376</v>
      </c>
      <c r="I3" s="40">
        <f>E3/$Q$7</f>
        <v>1.3596491228070176</v>
      </c>
      <c r="J3" s="38">
        <v>0.109</v>
      </c>
      <c r="L3" s="9"/>
      <c r="M3" s="22"/>
      <c r="N3" s="22"/>
      <c r="P3" t="s">
        <v>19</v>
      </c>
    </row>
    <row r="4" spans="1:18" ht="12.75">
      <c r="A4" t="s">
        <v>8</v>
      </c>
      <c r="B4" s="7"/>
      <c r="C4" s="1" t="s">
        <v>268</v>
      </c>
      <c r="D4">
        <v>36</v>
      </c>
      <c r="E4">
        <v>1255</v>
      </c>
      <c r="F4" s="5">
        <f t="shared" si="0"/>
        <v>125.87987159083589</v>
      </c>
      <c r="G4" s="5">
        <f t="shared" si="1"/>
        <v>45.18</v>
      </c>
      <c r="H4" s="9">
        <f t="shared" si="2"/>
        <v>1.44576</v>
      </c>
      <c r="I4" s="40">
        <f aca="true" t="shared" si="3" ref="I4:I26">E4/$Q$7</f>
        <v>1.1008771929824561</v>
      </c>
      <c r="J4" s="38">
        <v>0.125</v>
      </c>
      <c r="L4" s="9"/>
      <c r="M4" s="22">
        <f>8.96/550</f>
        <v>0.016290909090909092</v>
      </c>
      <c r="N4" s="22"/>
      <c r="P4" t="s">
        <v>20</v>
      </c>
      <c r="Q4">
        <v>0.0647989</v>
      </c>
      <c r="R4" t="s">
        <v>21</v>
      </c>
    </row>
    <row r="5" spans="1:18" ht="12.75">
      <c r="A5" t="s">
        <v>8</v>
      </c>
      <c r="B5" s="7"/>
      <c r="C5" s="1" t="s">
        <v>268</v>
      </c>
      <c r="D5">
        <v>38</v>
      </c>
      <c r="E5">
        <v>1280</v>
      </c>
      <c r="F5" s="5">
        <f t="shared" si="0"/>
        <v>138.21967731284988</v>
      </c>
      <c r="G5" s="5">
        <f t="shared" si="1"/>
        <v>48.64</v>
      </c>
      <c r="H5" s="9">
        <f t="shared" si="2"/>
        <v>1.55648</v>
      </c>
      <c r="I5" s="40">
        <f t="shared" si="3"/>
        <v>1.1228070175438596</v>
      </c>
      <c r="J5" s="38">
        <v>0.131</v>
      </c>
      <c r="L5" s="9"/>
      <c r="M5" s="22"/>
      <c r="N5" s="22"/>
      <c r="P5" t="s">
        <v>22</v>
      </c>
      <c r="Q5">
        <v>0.3048</v>
      </c>
      <c r="R5" t="s">
        <v>23</v>
      </c>
    </row>
    <row r="6" spans="1:18" ht="12.75">
      <c r="A6" t="s">
        <v>8</v>
      </c>
      <c r="B6" s="7"/>
      <c r="C6" s="1" t="s">
        <v>268</v>
      </c>
      <c r="D6">
        <v>38</v>
      </c>
      <c r="E6">
        <v>1280</v>
      </c>
      <c r="F6" s="5">
        <f t="shared" si="0"/>
        <v>138.21967731284988</v>
      </c>
      <c r="G6" s="5">
        <f t="shared" si="1"/>
        <v>48.64</v>
      </c>
      <c r="H6" s="9">
        <f t="shared" si="2"/>
        <v>1.55648</v>
      </c>
      <c r="I6" s="40">
        <f t="shared" si="3"/>
        <v>1.1228070175438596</v>
      </c>
      <c r="J6" s="38">
        <v>0.131</v>
      </c>
      <c r="L6" s="9"/>
      <c r="M6" s="22"/>
      <c r="N6" s="22"/>
      <c r="P6" t="s">
        <v>24</v>
      </c>
      <c r="Q6">
        <v>340</v>
      </c>
      <c r="R6" t="s">
        <v>23</v>
      </c>
    </row>
    <row r="7" spans="1:18" ht="12.75">
      <c r="A7" t="s">
        <v>8</v>
      </c>
      <c r="B7" s="7"/>
      <c r="C7" s="1" t="s">
        <v>269</v>
      </c>
      <c r="D7">
        <v>40</v>
      </c>
      <c r="E7">
        <v>1260</v>
      </c>
      <c r="F7" s="5">
        <f t="shared" si="0"/>
        <v>140.98321835287345</v>
      </c>
      <c r="G7" s="5">
        <f t="shared" si="1"/>
        <v>50.4</v>
      </c>
      <c r="H7" s="9">
        <f t="shared" si="2"/>
        <v>1.6128</v>
      </c>
      <c r="I7" s="40">
        <f t="shared" si="3"/>
        <v>1.105263157894737</v>
      </c>
      <c r="J7" s="38">
        <v>0.139</v>
      </c>
      <c r="L7" s="9"/>
      <c r="M7" s="22"/>
      <c r="N7" s="22"/>
      <c r="Q7">
        <v>1140</v>
      </c>
      <c r="R7" t="s">
        <v>25</v>
      </c>
    </row>
    <row r="8" spans="1:18" ht="12.75">
      <c r="A8" t="s">
        <v>8</v>
      </c>
      <c r="B8" s="7"/>
      <c r="C8" s="1" t="s">
        <v>270</v>
      </c>
      <c r="D8">
        <v>40</v>
      </c>
      <c r="E8">
        <v>1260</v>
      </c>
      <c r="F8" s="5">
        <f t="shared" si="0"/>
        <v>140.98321835287345</v>
      </c>
      <c r="G8" s="5">
        <f t="shared" si="1"/>
        <v>50.4</v>
      </c>
      <c r="H8" s="9">
        <f t="shared" si="2"/>
        <v>1.6128</v>
      </c>
      <c r="I8" s="40">
        <f t="shared" si="3"/>
        <v>1.105263157894737</v>
      </c>
      <c r="J8" s="38">
        <v>0.139</v>
      </c>
      <c r="L8" s="9"/>
      <c r="M8" s="22"/>
      <c r="N8" s="22"/>
      <c r="P8" t="s">
        <v>20</v>
      </c>
      <c r="Q8">
        <f>1*0.00006479891/14.5939</f>
        <v>4.440136632428617E-06</v>
      </c>
      <c r="R8" t="s">
        <v>28</v>
      </c>
    </row>
    <row r="9" spans="1:16" ht="12.75">
      <c r="A9" t="s">
        <v>8</v>
      </c>
      <c r="B9" s="7"/>
      <c r="C9" s="1" t="s">
        <v>269</v>
      </c>
      <c r="D9">
        <v>40</v>
      </c>
      <c r="E9">
        <v>1080</v>
      </c>
      <c r="F9" s="5">
        <f t="shared" si="0"/>
        <v>103.57950736129479</v>
      </c>
      <c r="G9" s="5">
        <f t="shared" si="1"/>
        <v>43.2</v>
      </c>
      <c r="H9" s="9">
        <f t="shared" si="2"/>
        <v>1.3824</v>
      </c>
      <c r="I9" s="40">
        <f t="shared" si="3"/>
        <v>0.9473684210526315</v>
      </c>
      <c r="J9" s="38">
        <v>0.138</v>
      </c>
      <c r="L9" s="9"/>
      <c r="M9" s="22"/>
      <c r="N9" s="22"/>
      <c r="P9" t="s">
        <v>267</v>
      </c>
    </row>
    <row r="10" spans="1:14" ht="12.75">
      <c r="A10" t="s">
        <v>8</v>
      </c>
      <c r="B10" s="2"/>
      <c r="C10" s="1" t="s">
        <v>270</v>
      </c>
      <c r="D10">
        <v>40</v>
      </c>
      <c r="E10">
        <v>1260</v>
      </c>
      <c r="F10" s="5">
        <f t="shared" si="0"/>
        <v>140.98321835287345</v>
      </c>
      <c r="G10" s="5">
        <f t="shared" si="1"/>
        <v>50.4</v>
      </c>
      <c r="H10" s="9">
        <f t="shared" si="2"/>
        <v>1.6128</v>
      </c>
      <c r="I10" s="40">
        <f t="shared" si="3"/>
        <v>1.105263157894737</v>
      </c>
      <c r="J10" s="38">
        <v>0.139</v>
      </c>
      <c r="L10" s="9"/>
      <c r="M10" s="22"/>
      <c r="N10" s="22"/>
    </row>
    <row r="11" spans="1:14" ht="12.75">
      <c r="A11" t="s">
        <v>8</v>
      </c>
      <c r="B11" s="2"/>
      <c r="C11" s="1" t="s">
        <v>269</v>
      </c>
      <c r="D11">
        <v>40</v>
      </c>
      <c r="E11">
        <v>1260</v>
      </c>
      <c r="F11" s="5">
        <f t="shared" si="0"/>
        <v>140.98321835287345</v>
      </c>
      <c r="G11" s="5">
        <f t="shared" si="1"/>
        <v>50.4</v>
      </c>
      <c r="H11" s="9">
        <f t="shared" si="2"/>
        <v>1.6128</v>
      </c>
      <c r="I11" s="40">
        <f t="shared" si="3"/>
        <v>1.105263157894737</v>
      </c>
      <c r="J11" s="38">
        <v>0.139</v>
      </c>
      <c r="L11" s="9"/>
      <c r="M11" s="22"/>
      <c r="N11" s="22"/>
    </row>
    <row r="12" spans="1:14" ht="12.75">
      <c r="A12" t="s">
        <v>44</v>
      </c>
      <c r="B12" s="2" t="s">
        <v>311</v>
      </c>
      <c r="C12" s="1" t="s">
        <v>312</v>
      </c>
      <c r="D12">
        <v>36</v>
      </c>
      <c r="E12">
        <v>1280</v>
      </c>
      <c r="F12" s="5">
        <f t="shared" si="0"/>
        <v>130.94495745427884</v>
      </c>
      <c r="G12" s="5">
        <f t="shared" si="1"/>
        <v>46.08</v>
      </c>
      <c r="H12" s="9">
        <f t="shared" si="2"/>
        <v>1.47456</v>
      </c>
      <c r="I12" s="40">
        <f t="shared" si="3"/>
        <v>1.1228070175438596</v>
      </c>
      <c r="J12" s="38"/>
      <c r="L12" s="9"/>
      <c r="M12" s="22">
        <f>9.5/550</f>
        <v>0.017272727272727273</v>
      </c>
      <c r="N12" s="22"/>
    </row>
    <row r="13" spans="1:14" ht="12.75">
      <c r="A13" t="s">
        <v>44</v>
      </c>
      <c r="B13" t="s">
        <v>276</v>
      </c>
      <c r="C13" s="1" t="s">
        <v>277</v>
      </c>
      <c r="D13">
        <v>38</v>
      </c>
      <c r="E13">
        <v>1050</v>
      </c>
      <c r="F13" s="5">
        <f t="shared" si="0"/>
        <v>93.00976210779845</v>
      </c>
      <c r="G13" s="5">
        <f t="shared" si="1"/>
        <v>39.9</v>
      </c>
      <c r="H13" s="9">
        <f t="shared" si="2"/>
        <v>1.2768000000000002</v>
      </c>
      <c r="I13" s="40">
        <f t="shared" si="3"/>
        <v>0.9210526315789473</v>
      </c>
      <c r="L13" s="9"/>
      <c r="M13" s="22"/>
      <c r="N13" s="22"/>
    </row>
    <row r="14" spans="1:14" ht="12.75">
      <c r="A14" t="s">
        <v>44</v>
      </c>
      <c r="B14" s="2" t="s">
        <v>278</v>
      </c>
      <c r="C14" s="1" t="s">
        <v>274</v>
      </c>
      <c r="D14">
        <v>40</v>
      </c>
      <c r="E14">
        <v>1150</v>
      </c>
      <c r="F14" s="5">
        <f t="shared" si="0"/>
        <v>117.44161392773692</v>
      </c>
      <c r="G14" s="5">
        <f t="shared" si="1"/>
        <v>46</v>
      </c>
      <c r="H14" s="9">
        <f t="shared" si="2"/>
        <v>1.4720000000000002</v>
      </c>
      <c r="I14" s="40">
        <f t="shared" si="3"/>
        <v>1.0087719298245614</v>
      </c>
      <c r="J14" s="38"/>
      <c r="L14" s="9"/>
      <c r="M14" s="22"/>
      <c r="N14" s="22"/>
    </row>
    <row r="15" spans="1:14" ht="12.75">
      <c r="A15" t="s">
        <v>44</v>
      </c>
      <c r="B15" s="2" t="s">
        <v>279</v>
      </c>
      <c r="C15" s="1" t="s">
        <v>280</v>
      </c>
      <c r="D15">
        <v>40</v>
      </c>
      <c r="E15">
        <v>1255</v>
      </c>
      <c r="F15" s="5">
        <f t="shared" si="0"/>
        <v>139.86652398981767</v>
      </c>
      <c r="G15" s="5">
        <f t="shared" si="1"/>
        <v>50.2</v>
      </c>
      <c r="H15" s="9">
        <f t="shared" si="2"/>
        <v>1.6064</v>
      </c>
      <c r="I15" s="40">
        <f t="shared" si="3"/>
        <v>1.1008771929824561</v>
      </c>
      <c r="J15" s="38"/>
      <c r="L15" s="9"/>
      <c r="M15" s="22"/>
      <c r="N15" s="22"/>
    </row>
    <row r="16" spans="1:14" ht="12.75">
      <c r="A16" t="s">
        <v>44</v>
      </c>
      <c r="B16" s="2" t="s">
        <v>279</v>
      </c>
      <c r="C16" s="1" t="s">
        <v>281</v>
      </c>
      <c r="D16">
        <v>36</v>
      </c>
      <c r="E16">
        <v>1280</v>
      </c>
      <c r="F16" s="5">
        <f t="shared" si="0"/>
        <v>130.94495745427884</v>
      </c>
      <c r="G16" s="5">
        <f t="shared" si="1"/>
        <v>46.08</v>
      </c>
      <c r="H16" s="9">
        <f t="shared" si="2"/>
        <v>1.47456</v>
      </c>
      <c r="I16" s="40">
        <f t="shared" si="3"/>
        <v>1.1228070175438596</v>
      </c>
      <c r="J16" s="38"/>
      <c r="L16" s="9"/>
      <c r="M16" s="22"/>
      <c r="N16" s="22"/>
    </row>
    <row r="17" spans="1:14" ht="12.75">
      <c r="A17" t="s">
        <v>44</v>
      </c>
      <c r="B17" s="2" t="s">
        <v>282</v>
      </c>
      <c r="C17" s="1" t="s">
        <v>284</v>
      </c>
      <c r="D17">
        <v>33</v>
      </c>
      <c r="E17">
        <v>1500</v>
      </c>
      <c r="F17" s="5">
        <f t="shared" si="0"/>
        <v>164.84007247891242</v>
      </c>
      <c r="G17" s="5">
        <f t="shared" si="1"/>
        <v>49.5</v>
      </c>
      <c r="H17" s="9">
        <f t="shared" si="2"/>
        <v>1.584</v>
      </c>
      <c r="I17" s="40">
        <f t="shared" si="3"/>
        <v>1.3157894736842106</v>
      </c>
      <c r="J17" s="38"/>
      <c r="L17" s="9"/>
      <c r="M17" s="22"/>
      <c r="N17" s="22"/>
    </row>
    <row r="18" spans="1:14" ht="12.75">
      <c r="A18" t="s">
        <v>44</v>
      </c>
      <c r="B18" s="2" t="s">
        <v>282</v>
      </c>
      <c r="C18" s="1" t="s">
        <v>283</v>
      </c>
      <c r="D18">
        <v>36</v>
      </c>
      <c r="E18">
        <v>1410</v>
      </c>
      <c r="F18" s="5">
        <f t="shared" si="0"/>
        <v>158.893841500764</v>
      </c>
      <c r="G18" s="5">
        <f t="shared" si="1"/>
        <v>50.76</v>
      </c>
      <c r="H18" s="9">
        <f t="shared" si="2"/>
        <v>1.62432</v>
      </c>
      <c r="I18" s="40">
        <f t="shared" si="3"/>
        <v>1.236842105263158</v>
      </c>
      <c r="J18" s="38"/>
      <c r="L18" s="9"/>
      <c r="M18" s="22"/>
      <c r="N18" s="22"/>
    </row>
    <row r="19" spans="1:14" ht="12.75">
      <c r="A19" t="s">
        <v>44</v>
      </c>
      <c r="B19" s="2" t="s">
        <v>282</v>
      </c>
      <c r="C19" s="1" t="s">
        <v>277</v>
      </c>
      <c r="D19">
        <v>36</v>
      </c>
      <c r="E19">
        <v>1280</v>
      </c>
      <c r="F19" s="5">
        <f t="shared" si="0"/>
        <v>130.94495745427884</v>
      </c>
      <c r="G19" s="5">
        <f t="shared" si="1"/>
        <v>46.08</v>
      </c>
      <c r="H19" s="9">
        <f t="shared" si="2"/>
        <v>1.47456</v>
      </c>
      <c r="I19" s="40">
        <f t="shared" si="3"/>
        <v>1.1228070175438596</v>
      </c>
      <c r="J19" s="38"/>
      <c r="L19" s="9"/>
      <c r="M19" s="22"/>
      <c r="N19" s="22"/>
    </row>
    <row r="20" spans="1:14" ht="12.75">
      <c r="A20" t="s">
        <v>44</v>
      </c>
      <c r="B20" s="2" t="s">
        <v>285</v>
      </c>
      <c r="C20" s="1" t="s">
        <v>274</v>
      </c>
      <c r="D20">
        <v>40</v>
      </c>
      <c r="E20">
        <v>1255</v>
      </c>
      <c r="F20" s="5">
        <f t="shared" si="0"/>
        <v>139.86652398981767</v>
      </c>
      <c r="G20" s="5">
        <f t="shared" si="1"/>
        <v>50.2</v>
      </c>
      <c r="H20" s="9">
        <f t="shared" si="2"/>
        <v>1.6064</v>
      </c>
      <c r="I20" s="40">
        <f t="shared" si="3"/>
        <v>1.1008771929824561</v>
      </c>
      <c r="J20" s="38"/>
      <c r="L20" s="9"/>
      <c r="M20" s="22"/>
      <c r="N20" s="22"/>
    </row>
    <row r="21" spans="1:14" ht="12.75">
      <c r="A21" t="s">
        <v>44</v>
      </c>
      <c r="B21" s="2" t="s">
        <v>285</v>
      </c>
      <c r="C21" s="1" t="s">
        <v>277</v>
      </c>
      <c r="D21">
        <v>36</v>
      </c>
      <c r="E21">
        <v>1280</v>
      </c>
      <c r="F21" s="5">
        <f t="shared" si="0"/>
        <v>130.94495745427884</v>
      </c>
      <c r="G21" s="5">
        <f t="shared" si="1"/>
        <v>46.08</v>
      </c>
      <c r="H21" s="9">
        <f t="shared" si="2"/>
        <v>1.47456</v>
      </c>
      <c r="I21" s="40">
        <f t="shared" si="3"/>
        <v>1.1228070175438596</v>
      </c>
      <c r="J21" s="38"/>
      <c r="L21" s="9"/>
      <c r="M21" s="22"/>
      <c r="N21" s="22"/>
    </row>
    <row r="22" spans="1:14" ht="12.75">
      <c r="A22" t="s">
        <v>27</v>
      </c>
      <c r="B22" s="2"/>
      <c r="C22" s="1" t="s">
        <v>274</v>
      </c>
      <c r="D22">
        <v>37</v>
      </c>
      <c r="E22">
        <v>1280</v>
      </c>
      <c r="F22" s="5">
        <f t="shared" si="0"/>
        <v>134.58231738356437</v>
      </c>
      <c r="G22" s="5">
        <f t="shared" si="1"/>
        <v>47.36</v>
      </c>
      <c r="H22" s="9">
        <f t="shared" si="2"/>
        <v>1.51552</v>
      </c>
      <c r="I22" s="40">
        <f t="shared" si="3"/>
        <v>1.1228070175438596</v>
      </c>
      <c r="J22" s="38"/>
      <c r="L22" s="9"/>
      <c r="M22" s="22"/>
      <c r="N22" s="22"/>
    </row>
    <row r="23" spans="1:14" ht="12.75">
      <c r="A23" t="s">
        <v>27</v>
      </c>
      <c r="B23" s="2"/>
      <c r="C23" s="1" t="s">
        <v>274</v>
      </c>
      <c r="D23">
        <v>40</v>
      </c>
      <c r="E23">
        <v>1255</v>
      </c>
      <c r="F23" s="5">
        <f t="shared" si="0"/>
        <v>139.86652398981767</v>
      </c>
      <c r="G23" s="5">
        <f t="shared" si="1"/>
        <v>50.2</v>
      </c>
      <c r="H23" s="9">
        <f t="shared" si="2"/>
        <v>1.6064</v>
      </c>
      <c r="I23" s="40">
        <f t="shared" si="3"/>
        <v>1.1008771929824561</v>
      </c>
      <c r="J23" s="38"/>
      <c r="L23" s="9"/>
      <c r="M23" s="22"/>
      <c r="N23" s="22"/>
    </row>
    <row r="24" spans="1:14" ht="12.75">
      <c r="A24" t="s">
        <v>27</v>
      </c>
      <c r="C24" s="1" t="s">
        <v>295</v>
      </c>
      <c r="D24">
        <v>40</v>
      </c>
      <c r="E24">
        <v>1280</v>
      </c>
      <c r="F24" s="5">
        <f t="shared" si="0"/>
        <v>145.49439717142093</v>
      </c>
      <c r="G24" s="5">
        <f t="shared" si="1"/>
        <v>51.2</v>
      </c>
      <c r="H24" s="9">
        <f t="shared" si="2"/>
        <v>1.6384</v>
      </c>
      <c r="I24" s="40">
        <f t="shared" si="3"/>
        <v>1.1228070175438596</v>
      </c>
      <c r="J24" s="38"/>
      <c r="L24" s="9"/>
      <c r="M24" s="22"/>
      <c r="N24" s="22"/>
    </row>
    <row r="25" spans="1:14" ht="12.75">
      <c r="A25" t="s">
        <v>27</v>
      </c>
      <c r="B25" s="10"/>
      <c r="C25" s="11" t="s">
        <v>296</v>
      </c>
      <c r="D25" s="10">
        <v>36</v>
      </c>
      <c r="E25" s="10">
        <v>1220</v>
      </c>
      <c r="F25" s="12">
        <f t="shared" si="0"/>
        <v>118.95658854672156</v>
      </c>
      <c r="G25" s="12">
        <f t="shared" si="1"/>
        <v>43.92</v>
      </c>
      <c r="H25" s="9">
        <f t="shared" si="2"/>
        <v>1.40544</v>
      </c>
      <c r="I25" s="40">
        <f t="shared" si="3"/>
        <v>1.0701754385964912</v>
      </c>
      <c r="J25" s="38"/>
      <c r="K25" s="10"/>
      <c r="L25" s="13"/>
      <c r="M25" s="22"/>
      <c r="N25" s="22"/>
    </row>
    <row r="26" spans="1:14" ht="12.75">
      <c r="A26" t="s">
        <v>27</v>
      </c>
      <c r="B26" s="10"/>
      <c r="C26" s="11" t="s">
        <v>297</v>
      </c>
      <c r="D26" s="10">
        <v>40</v>
      </c>
      <c r="E26" s="10">
        <v>1150</v>
      </c>
      <c r="F26" s="12">
        <f t="shared" si="0"/>
        <v>117.44161392773692</v>
      </c>
      <c r="G26" s="12">
        <f t="shared" si="1"/>
        <v>46</v>
      </c>
      <c r="H26" s="9">
        <f t="shared" si="2"/>
        <v>1.4720000000000002</v>
      </c>
      <c r="I26" s="40">
        <f t="shared" si="3"/>
        <v>1.0087719298245614</v>
      </c>
      <c r="J26" s="38"/>
      <c r="K26" s="10"/>
      <c r="L26" s="13"/>
      <c r="M26" s="22"/>
      <c r="N26" s="22"/>
    </row>
    <row r="27" spans="3:14" ht="12.75">
      <c r="C27" s="1"/>
      <c r="F27" s="5"/>
      <c r="G27" s="5"/>
      <c r="H27" s="9"/>
      <c r="J27" s="38"/>
      <c r="L27" s="9"/>
      <c r="M27" s="22"/>
      <c r="N27" s="22"/>
    </row>
    <row r="28" spans="3:14" ht="12.75">
      <c r="C28" s="1"/>
      <c r="F28" s="5"/>
      <c r="G28" s="5"/>
      <c r="H28" s="9"/>
      <c r="J28" s="38"/>
      <c r="L28" s="9"/>
      <c r="M28" s="22"/>
      <c r="N28" s="22"/>
    </row>
    <row r="29" spans="3:14" ht="12.75">
      <c r="C29" s="1"/>
      <c r="F29" s="5"/>
      <c r="G29" s="5"/>
      <c r="H29" s="9"/>
      <c r="J29" s="38"/>
      <c r="L29" s="9"/>
      <c r="M29" s="22"/>
      <c r="N29" s="22"/>
    </row>
    <row r="30" spans="3:14" ht="12.75">
      <c r="C30" s="1"/>
      <c r="F30" s="5"/>
      <c r="G30" s="5"/>
      <c r="H30" s="9"/>
      <c r="J30" s="38"/>
      <c r="L30" s="9"/>
      <c r="M30" s="22"/>
      <c r="N30" s="22"/>
    </row>
    <row r="31" spans="3:14" ht="12.75">
      <c r="C31" s="1"/>
      <c r="F31" s="5"/>
      <c r="G31" s="5"/>
      <c r="H31" s="9"/>
      <c r="J31" s="38"/>
      <c r="L31" s="9"/>
      <c r="M31" s="22"/>
      <c r="N31" s="22"/>
    </row>
    <row r="32" spans="3:14" ht="12.75">
      <c r="C32" s="1"/>
      <c r="F32" s="5"/>
      <c r="G32" s="5"/>
      <c r="H32" s="9"/>
      <c r="J32" s="38"/>
      <c r="L32" s="9"/>
      <c r="M32" s="22"/>
      <c r="N32" s="22"/>
    </row>
    <row r="33" spans="3:14" ht="12.75">
      <c r="C33" s="1"/>
      <c r="F33" s="5"/>
      <c r="G33" s="5"/>
      <c r="H33" s="9"/>
      <c r="J33" s="38"/>
      <c r="L33" s="9"/>
      <c r="M33" s="22"/>
      <c r="N33" s="22"/>
    </row>
    <row r="34" spans="1:14" ht="12.75">
      <c r="A34" s="10"/>
      <c r="B34" s="10"/>
      <c r="C34" s="11"/>
      <c r="D34" s="10"/>
      <c r="E34" s="10"/>
      <c r="F34" s="12"/>
      <c r="G34" s="12"/>
      <c r="H34" s="9"/>
      <c r="J34" s="22"/>
      <c r="K34" s="14"/>
      <c r="L34" s="15"/>
      <c r="M34" s="22"/>
      <c r="N34" s="22"/>
    </row>
    <row r="35" spans="1:14" ht="12.75">
      <c r="A35" s="10"/>
      <c r="B35" s="10"/>
      <c r="C35" s="11"/>
      <c r="D35" s="10"/>
      <c r="E35" s="10"/>
      <c r="F35" s="5"/>
      <c r="G35" s="5"/>
      <c r="H35" s="9"/>
      <c r="J35" s="38"/>
      <c r="L35" s="9"/>
      <c r="M35" s="22"/>
      <c r="N35" s="22"/>
    </row>
    <row r="36" spans="1:14" ht="12.75">
      <c r="A36" s="10"/>
      <c r="B36" s="10"/>
      <c r="C36" s="11"/>
      <c r="D36" s="10"/>
      <c r="E36" s="10"/>
      <c r="F36" s="5"/>
      <c r="G36" s="5"/>
      <c r="H36" s="9"/>
      <c r="J36" s="38"/>
      <c r="L36" s="9"/>
      <c r="M36" s="22"/>
      <c r="N36" s="22"/>
    </row>
    <row r="37" spans="1:14" ht="12.75">
      <c r="A37" s="10"/>
      <c r="C37" s="11"/>
      <c r="D37" s="10"/>
      <c r="E37" s="10"/>
      <c r="F37" s="5"/>
      <c r="G37" s="5"/>
      <c r="H37" s="9"/>
      <c r="J37" s="38"/>
      <c r="K37" s="10"/>
      <c r="L37" s="9"/>
      <c r="M37" s="22"/>
      <c r="N37" s="22"/>
    </row>
    <row r="38" spans="1:14" ht="12.75">
      <c r="A38" s="10"/>
      <c r="C38" s="11"/>
      <c r="D38" s="10"/>
      <c r="E38" s="10"/>
      <c r="F38" s="5"/>
      <c r="G38" s="5"/>
      <c r="H38" s="9"/>
      <c r="J38" s="38"/>
      <c r="L38" s="9"/>
      <c r="M38" s="22"/>
      <c r="N38" s="22"/>
    </row>
    <row r="39" spans="1:14" ht="12.75">
      <c r="A39" s="10"/>
      <c r="C39" s="11"/>
      <c r="D39" s="10"/>
      <c r="E39" s="10"/>
      <c r="F39" s="5"/>
      <c r="G39" s="5"/>
      <c r="H39" s="9"/>
      <c r="J39" s="38"/>
      <c r="L39" s="9"/>
      <c r="M39" s="22"/>
      <c r="N39" s="22"/>
    </row>
    <row r="40" spans="1:14" ht="12.75">
      <c r="A40" s="10"/>
      <c r="C40" s="11"/>
      <c r="D40" s="10"/>
      <c r="E40" s="10"/>
      <c r="F40" s="5"/>
      <c r="G40" s="5"/>
      <c r="H40" s="9"/>
      <c r="J40" s="38"/>
      <c r="L40" s="9"/>
      <c r="M40" s="22"/>
      <c r="N40" s="22"/>
    </row>
    <row r="41" spans="6:14" ht="12.75">
      <c r="F41" s="5"/>
      <c r="G41" s="5"/>
      <c r="H41" s="9"/>
      <c r="J41" s="38"/>
      <c r="L41" s="9"/>
      <c r="M41" s="22"/>
      <c r="N41" s="22"/>
    </row>
    <row r="42" spans="1:14" ht="12.75">
      <c r="A42" s="26"/>
      <c r="F42" s="5"/>
      <c r="G42" s="5"/>
      <c r="H42" s="9"/>
      <c r="J42" s="38"/>
      <c r="L42" s="9"/>
      <c r="M42" s="22"/>
      <c r="N42" s="22"/>
    </row>
    <row r="43" spans="3:14" ht="12.75">
      <c r="C43" s="11"/>
      <c r="F43" s="5"/>
      <c r="G43" s="5"/>
      <c r="H43" s="9"/>
      <c r="J43" s="38"/>
      <c r="L43" s="9"/>
      <c r="M43" s="22"/>
      <c r="N43" s="22"/>
    </row>
    <row r="44" spans="6:14" ht="12.75">
      <c r="F44" s="5"/>
      <c r="G44" s="5"/>
      <c r="H44" s="9"/>
      <c r="J44" s="38"/>
      <c r="L44" s="9"/>
      <c r="M44" s="22"/>
      <c r="N44" s="22"/>
    </row>
    <row r="45" spans="6:14" ht="12.75">
      <c r="F45" s="5"/>
      <c r="G45" s="5"/>
      <c r="H45" s="9"/>
      <c r="J45" s="38"/>
      <c r="L45" s="9"/>
      <c r="M45" s="22"/>
      <c r="N45" s="22"/>
    </row>
    <row r="46" spans="6:14" ht="12.75">
      <c r="F46" s="5"/>
      <c r="G46" s="5"/>
      <c r="H46" s="9"/>
      <c r="J46" s="38"/>
      <c r="L46" s="9"/>
      <c r="M46" s="22"/>
      <c r="N46" s="22"/>
    </row>
    <row r="47" spans="6:14" ht="12.75">
      <c r="F47" s="5"/>
      <c r="G47" s="5"/>
      <c r="H47" s="9"/>
      <c r="J47" s="38"/>
      <c r="L47" s="9"/>
      <c r="M47" s="22"/>
      <c r="N47" s="22"/>
    </row>
    <row r="48" spans="6:14" ht="12.75">
      <c r="F48" s="5"/>
      <c r="G48" s="5"/>
      <c r="H48" s="9"/>
      <c r="J48" s="38"/>
      <c r="L48" s="9"/>
      <c r="M48" s="22"/>
      <c r="N48" s="22"/>
    </row>
    <row r="49" spans="6:14" ht="12.75">
      <c r="F49" s="5"/>
      <c r="G49" s="5"/>
      <c r="H49" s="9"/>
      <c r="J49" s="38"/>
      <c r="L49" s="9"/>
      <c r="M49" s="22"/>
      <c r="N49" s="22"/>
    </row>
    <row r="50" spans="6:14" ht="12.75">
      <c r="F50" s="5"/>
      <c r="G50" s="5"/>
      <c r="H50" s="9"/>
      <c r="J50" s="38"/>
      <c r="L50" s="9"/>
      <c r="M50" s="22"/>
      <c r="N50" s="22"/>
    </row>
    <row r="51" spans="6:14" ht="12.75">
      <c r="F51" s="5"/>
      <c r="G51" s="5"/>
      <c r="H51" s="9"/>
      <c r="J51" s="38"/>
      <c r="L51" s="9"/>
      <c r="M51" s="22"/>
      <c r="N51" s="22"/>
    </row>
    <row r="52" spans="6:14" ht="12.75">
      <c r="F52" s="5"/>
      <c r="G52" s="5"/>
      <c r="H52" s="9"/>
      <c r="J52" s="38"/>
      <c r="L52" s="9"/>
      <c r="M52" s="22"/>
      <c r="N52" s="22"/>
    </row>
    <row r="53" spans="6:14" ht="12.75">
      <c r="F53" s="5"/>
      <c r="G53" s="5"/>
      <c r="H53" s="9"/>
      <c r="J53" s="38"/>
      <c r="L53" s="9"/>
      <c r="M53" s="22"/>
      <c r="N53" s="22"/>
    </row>
    <row r="54" spans="6:14" ht="12.75">
      <c r="F54" s="5"/>
      <c r="G54" s="5"/>
      <c r="H54" s="9"/>
      <c r="J54" s="38"/>
      <c r="L54" s="9"/>
      <c r="M54" s="22"/>
      <c r="N54" s="22"/>
    </row>
    <row r="55" spans="6:14" ht="12.75">
      <c r="F55" s="5"/>
      <c r="G55" s="5"/>
      <c r="H55" s="9"/>
      <c r="J55" s="38"/>
      <c r="L55" s="9"/>
      <c r="M55" s="22"/>
      <c r="N55" s="22"/>
    </row>
    <row r="56" spans="6:14" ht="12.75">
      <c r="F56" s="5"/>
      <c r="G56" s="5"/>
      <c r="H56" s="9"/>
      <c r="J56" s="38"/>
      <c r="L56" s="9"/>
      <c r="M56" s="22"/>
      <c r="N56" s="22"/>
    </row>
    <row r="57" spans="6:14" ht="12.75">
      <c r="F57" s="5"/>
      <c r="G57" s="5"/>
      <c r="H57" s="9"/>
      <c r="J57" s="38"/>
      <c r="L57" s="9"/>
      <c r="M57" s="22"/>
      <c r="N57" s="22"/>
    </row>
    <row r="58" spans="6:14" ht="12.75">
      <c r="F58" s="5"/>
      <c r="G58" s="5"/>
      <c r="H58" s="9"/>
      <c r="J58" s="38"/>
      <c r="L58" s="9"/>
      <c r="M58" s="22"/>
      <c r="N58" s="22"/>
    </row>
    <row r="59" spans="6:14" ht="12.75">
      <c r="F59" s="5"/>
      <c r="G59" s="5"/>
      <c r="H59" s="9"/>
      <c r="J59" s="38"/>
      <c r="L59" s="9"/>
      <c r="M59" s="22"/>
      <c r="N59" s="22"/>
    </row>
    <row r="60" spans="6:14" ht="12.75">
      <c r="F60" s="5"/>
      <c r="G60" s="5"/>
      <c r="H60" s="9"/>
      <c r="J60" s="38"/>
      <c r="L60" s="9"/>
      <c r="M60" s="22"/>
      <c r="N60" s="22"/>
    </row>
    <row r="61" spans="6:14" ht="12.75">
      <c r="F61" s="5"/>
      <c r="G61" s="5"/>
      <c r="H61" s="9"/>
      <c r="J61" s="38"/>
      <c r="L61" s="9"/>
      <c r="M61" s="22"/>
      <c r="N61" s="22"/>
    </row>
    <row r="62" spans="6:14" ht="12.75">
      <c r="F62" s="5"/>
      <c r="G62" s="5"/>
      <c r="H62" s="9"/>
      <c r="J62" s="38"/>
      <c r="L62" s="9"/>
      <c r="M62" s="22"/>
      <c r="N62" s="22"/>
    </row>
    <row r="63" spans="6:14" ht="12.75">
      <c r="F63" s="5"/>
      <c r="G63" s="5"/>
      <c r="H63" s="9"/>
      <c r="J63" s="38"/>
      <c r="L63" s="9"/>
      <c r="M63" s="22"/>
      <c r="N63" s="22"/>
    </row>
    <row r="64" spans="6:14" ht="12.75">
      <c r="F64" s="5"/>
      <c r="G64" s="5"/>
      <c r="H64" s="9"/>
      <c r="J64" s="38"/>
      <c r="L64" s="9"/>
      <c r="M64" s="22"/>
      <c r="N64" s="22"/>
    </row>
    <row r="65" spans="6:14" ht="12.75">
      <c r="F65" s="5"/>
      <c r="G65" s="5"/>
      <c r="H65" s="9"/>
      <c r="J65" s="38"/>
      <c r="L65" s="9"/>
      <c r="M65" s="22"/>
      <c r="N65" s="22"/>
    </row>
    <row r="66" spans="6:14" ht="12.75">
      <c r="F66" s="5"/>
      <c r="G66" s="5"/>
      <c r="H66" s="9"/>
      <c r="J66" s="38"/>
      <c r="L66" s="9"/>
      <c r="M66" s="22"/>
      <c r="N66" s="22"/>
    </row>
    <row r="67" spans="6:14" ht="12.75">
      <c r="F67" s="5"/>
      <c r="G67" s="5"/>
      <c r="H67" s="9"/>
      <c r="J67" s="38"/>
      <c r="L67" s="9"/>
      <c r="M67" s="22"/>
      <c r="N67" s="22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J1" sqref="J1:J16384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1.57421875" style="0" customWidth="1"/>
    <col min="4" max="4" width="7.7109375" style="0" customWidth="1"/>
    <col min="5" max="5" width="8.140625" style="0" customWidth="1"/>
    <col min="6" max="6" width="6.28125" style="0" customWidth="1"/>
    <col min="7" max="7" width="6.7109375" style="0" customWidth="1"/>
    <col min="8" max="8" width="4.8515625" style="9" customWidth="1"/>
    <col min="9" max="9" width="4.28125" style="9" customWidth="1"/>
    <col min="11" max="11" width="12.8515625" style="0" customWidth="1"/>
    <col min="15" max="15" width="9.7109375" style="0" customWidth="1"/>
  </cols>
  <sheetData>
    <row r="1" spans="1:16" ht="26.25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24" customHeight="1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8" t="s">
        <v>217</v>
      </c>
      <c r="I2" s="8" t="s">
        <v>300</v>
      </c>
      <c r="J2" s="3" t="s">
        <v>5</v>
      </c>
      <c r="K2" s="8" t="s">
        <v>6</v>
      </c>
      <c r="L2" s="23" t="s">
        <v>179</v>
      </c>
      <c r="M2" s="4"/>
      <c r="N2" s="4"/>
      <c r="O2" s="4"/>
      <c r="P2" s="4"/>
      <c r="Q2" s="4"/>
    </row>
    <row r="3" spans="1:14" ht="12.75">
      <c r="A3" t="s">
        <v>8</v>
      </c>
      <c r="B3" s="16" t="s">
        <v>86</v>
      </c>
      <c r="C3" s="1" t="s">
        <v>16</v>
      </c>
      <c r="D3">
        <v>124</v>
      </c>
      <c r="E3">
        <v>1120</v>
      </c>
      <c r="F3" s="5">
        <f>0.5*D3*E3*E3*$O$8</f>
        <v>345.32185828654434</v>
      </c>
      <c r="G3" s="5">
        <f>D3*E3/1000</f>
        <v>138.88</v>
      </c>
      <c r="H3" s="9">
        <f>0.355*D3*E3/7000</f>
        <v>7.043199999999999</v>
      </c>
      <c r="I3" s="40">
        <f>E3/$O$7</f>
        <v>0.9824561403508771</v>
      </c>
      <c r="J3">
        <v>83</v>
      </c>
      <c r="K3" s="9">
        <v>14.5</v>
      </c>
      <c r="N3" t="s">
        <v>19</v>
      </c>
    </row>
    <row r="4" spans="1:16" ht="12.75">
      <c r="A4" t="s">
        <v>8</v>
      </c>
      <c r="B4" s="16" t="s">
        <v>87</v>
      </c>
      <c r="C4" s="1" t="s">
        <v>16</v>
      </c>
      <c r="D4">
        <v>147</v>
      </c>
      <c r="E4">
        <v>1000</v>
      </c>
      <c r="F4" s="5">
        <f aca="true" t="shared" si="0" ref="F4:F42">0.5*D4*E4*E4*$O$8</f>
        <v>326.3500424835034</v>
      </c>
      <c r="G4" s="5">
        <f aca="true" t="shared" si="1" ref="G4:G42">D4*E4/1000</f>
        <v>147</v>
      </c>
      <c r="H4" s="9">
        <f aca="true" t="shared" si="2" ref="H4:H42">0.355*D4*E4/7000</f>
        <v>7.454999999999999</v>
      </c>
      <c r="I4" s="40">
        <f aca="true" t="shared" si="3" ref="I4:I42">E4/$O$7</f>
        <v>0.8771929824561403</v>
      </c>
      <c r="J4">
        <v>79</v>
      </c>
      <c r="K4" s="9">
        <v>17.1</v>
      </c>
      <c r="N4" t="s">
        <v>20</v>
      </c>
      <c r="O4">
        <v>0.0647989</v>
      </c>
      <c r="P4" t="s">
        <v>21</v>
      </c>
    </row>
    <row r="5" spans="1:16" ht="12.75">
      <c r="A5" t="s">
        <v>8</v>
      </c>
      <c r="B5" s="16" t="s">
        <v>88</v>
      </c>
      <c r="C5" s="1" t="s">
        <v>17</v>
      </c>
      <c r="D5">
        <v>105</v>
      </c>
      <c r="E5">
        <v>1225</v>
      </c>
      <c r="F5" s="5">
        <f t="shared" si="0"/>
        <v>349.8064517870052</v>
      </c>
      <c r="G5" s="5">
        <f t="shared" si="1"/>
        <v>128.625</v>
      </c>
      <c r="H5" s="9">
        <f t="shared" si="2"/>
        <v>6.523125</v>
      </c>
      <c r="I5" s="40">
        <f t="shared" si="3"/>
        <v>1.0745614035087718</v>
      </c>
      <c r="K5" s="9"/>
      <c r="N5" t="s">
        <v>22</v>
      </c>
      <c r="O5">
        <v>0.3048</v>
      </c>
      <c r="P5" t="s">
        <v>23</v>
      </c>
    </row>
    <row r="6" spans="1:16" ht="12.75">
      <c r="A6" t="s">
        <v>8</v>
      </c>
      <c r="B6" s="16" t="s">
        <v>89</v>
      </c>
      <c r="C6" s="1" t="s">
        <v>16</v>
      </c>
      <c r="D6">
        <v>135</v>
      </c>
      <c r="E6">
        <v>1050</v>
      </c>
      <c r="F6" s="5">
        <f t="shared" si="0"/>
        <v>330.42941801454714</v>
      </c>
      <c r="G6" s="5">
        <f t="shared" si="1"/>
        <v>141.75</v>
      </c>
      <c r="H6" s="9">
        <f t="shared" si="2"/>
        <v>7.18875</v>
      </c>
      <c r="I6" s="40">
        <f t="shared" si="3"/>
        <v>0.9210526315789473</v>
      </c>
      <c r="J6" s="10">
        <v>80</v>
      </c>
      <c r="K6" s="9">
        <v>14.9</v>
      </c>
      <c r="N6" t="s">
        <v>24</v>
      </c>
      <c r="O6">
        <v>340</v>
      </c>
      <c r="P6" t="s">
        <v>23</v>
      </c>
    </row>
    <row r="7" spans="1:16" ht="12.75">
      <c r="A7" t="s">
        <v>8</v>
      </c>
      <c r="B7" s="16" t="s">
        <v>90</v>
      </c>
      <c r="C7" s="1" t="s">
        <v>18</v>
      </c>
      <c r="D7">
        <v>115</v>
      </c>
      <c r="E7">
        <v>1160</v>
      </c>
      <c r="F7" s="5">
        <f t="shared" si="0"/>
        <v>343.542251524267</v>
      </c>
      <c r="G7" s="5">
        <f t="shared" si="1"/>
        <v>133.4</v>
      </c>
      <c r="H7" s="9">
        <f t="shared" si="2"/>
        <v>6.765285714285714</v>
      </c>
      <c r="I7" s="40">
        <f t="shared" si="3"/>
        <v>1.0175438596491229</v>
      </c>
      <c r="J7" s="10">
        <v>82</v>
      </c>
      <c r="K7" s="9">
        <v>13.6</v>
      </c>
      <c r="O7">
        <v>1140</v>
      </c>
      <c r="P7" t="s">
        <v>25</v>
      </c>
    </row>
    <row r="8" spans="1:16" ht="12.75">
      <c r="A8" t="s">
        <v>8</v>
      </c>
      <c r="B8" s="16" t="s">
        <v>91</v>
      </c>
      <c r="C8" s="1" t="s">
        <v>18</v>
      </c>
      <c r="D8">
        <v>147</v>
      </c>
      <c r="E8">
        <v>980</v>
      </c>
      <c r="F8" s="5">
        <f t="shared" si="0"/>
        <v>313.42658080115666</v>
      </c>
      <c r="G8" s="5">
        <f t="shared" si="1"/>
        <v>144.06</v>
      </c>
      <c r="H8" s="9">
        <f t="shared" si="2"/>
        <v>7.305899999999999</v>
      </c>
      <c r="I8" s="40">
        <f t="shared" si="3"/>
        <v>0.8596491228070176</v>
      </c>
      <c r="J8" s="10">
        <v>78</v>
      </c>
      <c r="K8" s="9">
        <v>18.3</v>
      </c>
      <c r="N8" t="s">
        <v>20</v>
      </c>
      <c r="O8">
        <f>1*0.00006479891/14.5939</f>
        <v>4.440136632428617E-06</v>
      </c>
      <c r="P8" t="s">
        <v>28</v>
      </c>
    </row>
    <row r="9" spans="1:11" ht="12.75">
      <c r="A9" t="s">
        <v>8</v>
      </c>
      <c r="B9" s="16" t="s">
        <v>79</v>
      </c>
      <c r="C9" s="1" t="s">
        <v>115</v>
      </c>
      <c r="D9">
        <v>124</v>
      </c>
      <c r="E9">
        <v>1159</v>
      </c>
      <c r="F9" s="5">
        <f t="shared" si="0"/>
        <v>369.7897728962114</v>
      </c>
      <c r="G9" s="5">
        <f t="shared" si="1"/>
        <v>143.716</v>
      </c>
      <c r="H9" s="9">
        <f t="shared" si="2"/>
        <v>7.288454285714285</v>
      </c>
      <c r="I9" s="40">
        <f t="shared" si="3"/>
        <v>1.0166666666666666</v>
      </c>
      <c r="J9" s="10">
        <v>89</v>
      </c>
      <c r="K9" s="9">
        <v>14.1</v>
      </c>
    </row>
    <row r="10" spans="1:15" ht="12.75">
      <c r="A10" t="s">
        <v>8</v>
      </c>
      <c r="B10" s="16" t="s">
        <v>79</v>
      </c>
      <c r="C10" s="1" t="s">
        <v>114</v>
      </c>
      <c r="D10">
        <v>115</v>
      </c>
      <c r="E10">
        <v>1237</v>
      </c>
      <c r="F10" s="5">
        <f t="shared" si="0"/>
        <v>390.66416726563324</v>
      </c>
      <c r="G10" s="5">
        <f t="shared" si="1"/>
        <v>142.255</v>
      </c>
      <c r="H10" s="9">
        <f t="shared" si="2"/>
        <v>7.214360714285713</v>
      </c>
      <c r="I10" s="40">
        <f t="shared" si="3"/>
        <v>1.0850877192982455</v>
      </c>
      <c r="J10" s="10">
        <v>91</v>
      </c>
      <c r="K10" s="9">
        <v>13.9</v>
      </c>
      <c r="O10" s="21"/>
    </row>
    <row r="11" spans="1:11" ht="12.75">
      <c r="A11" t="s">
        <v>44</v>
      </c>
      <c r="B11" s="16" t="s">
        <v>79</v>
      </c>
      <c r="C11" s="1" t="s">
        <v>114</v>
      </c>
      <c r="D11">
        <v>115</v>
      </c>
      <c r="E11">
        <v>1221</v>
      </c>
      <c r="F11" s="5">
        <f t="shared" si="0"/>
        <v>380.6234198905245</v>
      </c>
      <c r="G11" s="5">
        <f t="shared" si="1"/>
        <v>140.415</v>
      </c>
      <c r="H11" s="9">
        <f t="shared" si="2"/>
        <v>7.121046428571428</v>
      </c>
      <c r="I11" s="40">
        <f t="shared" si="3"/>
        <v>1.0710526315789475</v>
      </c>
      <c r="J11" s="10">
        <v>89</v>
      </c>
      <c r="K11" s="9">
        <v>15.6</v>
      </c>
    </row>
    <row r="12" spans="1:11" ht="12.75">
      <c r="A12" t="s">
        <v>44</v>
      </c>
      <c r="B12" s="16" t="s">
        <v>93</v>
      </c>
      <c r="C12" s="1" t="s">
        <v>18</v>
      </c>
      <c r="D12">
        <v>115</v>
      </c>
      <c r="E12">
        <v>1155</v>
      </c>
      <c r="F12" s="5">
        <f t="shared" si="0"/>
        <v>340.58706308684623</v>
      </c>
      <c r="G12" s="5">
        <f t="shared" si="1"/>
        <v>132.825</v>
      </c>
      <c r="H12" s="9">
        <f t="shared" si="2"/>
        <v>6.736124999999999</v>
      </c>
      <c r="I12" s="40">
        <f t="shared" si="3"/>
        <v>1.013157894736842</v>
      </c>
      <c r="J12" s="10">
        <v>82</v>
      </c>
      <c r="K12" s="9">
        <v>14.3</v>
      </c>
    </row>
    <row r="13" spans="1:11" ht="12.75">
      <c r="A13" t="s">
        <v>44</v>
      </c>
      <c r="B13" s="16" t="s">
        <v>94</v>
      </c>
      <c r="C13" s="1" t="s">
        <v>78</v>
      </c>
      <c r="D13">
        <v>115</v>
      </c>
      <c r="E13">
        <v>1250</v>
      </c>
      <c r="F13" s="5">
        <f t="shared" si="0"/>
        <v>398.9185255697586</v>
      </c>
      <c r="G13" s="5">
        <f t="shared" si="1"/>
        <v>143.75</v>
      </c>
      <c r="H13" s="9">
        <f t="shared" si="2"/>
        <v>7.29017857142857</v>
      </c>
      <c r="I13" s="40">
        <f t="shared" si="3"/>
        <v>1.0964912280701755</v>
      </c>
      <c r="J13" s="10"/>
      <c r="K13" s="9"/>
    </row>
    <row r="14" spans="1:11" ht="12.75">
      <c r="A14" t="s">
        <v>44</v>
      </c>
      <c r="B14" s="16" t="s">
        <v>95</v>
      </c>
      <c r="C14" s="1" t="s">
        <v>18</v>
      </c>
      <c r="D14">
        <v>115</v>
      </c>
      <c r="E14">
        <v>1155</v>
      </c>
      <c r="F14" s="5">
        <f t="shared" si="0"/>
        <v>340.58706308684623</v>
      </c>
      <c r="G14" s="5">
        <f t="shared" si="1"/>
        <v>132.825</v>
      </c>
      <c r="H14" s="9">
        <f t="shared" si="2"/>
        <v>6.736124999999999</v>
      </c>
      <c r="I14" s="40">
        <f t="shared" si="3"/>
        <v>1.013157894736842</v>
      </c>
      <c r="K14" s="9"/>
    </row>
    <row r="15" spans="1:11" ht="12.75">
      <c r="A15" t="s">
        <v>44</v>
      </c>
      <c r="B15" s="16" t="s">
        <v>96</v>
      </c>
      <c r="C15" s="1" t="s">
        <v>50</v>
      </c>
      <c r="D15">
        <v>124</v>
      </c>
      <c r="E15">
        <v>1125</v>
      </c>
      <c r="F15" s="5">
        <f t="shared" si="0"/>
        <v>348.41197137588307</v>
      </c>
      <c r="G15" s="5">
        <f t="shared" si="1"/>
        <v>139.5</v>
      </c>
      <c r="H15" s="9">
        <f t="shared" si="2"/>
        <v>7.074642857142856</v>
      </c>
      <c r="I15" s="40">
        <f t="shared" si="3"/>
        <v>0.9868421052631579</v>
      </c>
      <c r="K15" s="9"/>
    </row>
    <row r="16" spans="1:11" ht="12.75">
      <c r="A16" t="s">
        <v>44</v>
      </c>
      <c r="B16" s="16" t="s">
        <v>97</v>
      </c>
      <c r="C16" s="1" t="s">
        <v>69</v>
      </c>
      <c r="D16">
        <v>124</v>
      </c>
      <c r="E16">
        <v>1180</v>
      </c>
      <c r="F16" s="5">
        <f t="shared" si="0"/>
        <v>383.3116673136036</v>
      </c>
      <c r="G16" s="5">
        <f t="shared" si="1"/>
        <v>146.32</v>
      </c>
      <c r="H16" s="9">
        <f t="shared" si="2"/>
        <v>7.420514285714286</v>
      </c>
      <c r="I16" s="40">
        <f t="shared" si="3"/>
        <v>1.0350877192982457</v>
      </c>
      <c r="J16">
        <v>86</v>
      </c>
      <c r="K16" s="9">
        <v>13.9</v>
      </c>
    </row>
    <row r="17" spans="1:11" ht="12.75">
      <c r="A17" t="s">
        <v>44</v>
      </c>
      <c r="B17" s="16" t="s">
        <v>98</v>
      </c>
      <c r="C17" s="1" t="s">
        <v>50</v>
      </c>
      <c r="D17">
        <v>147</v>
      </c>
      <c r="E17">
        <v>990</v>
      </c>
      <c r="F17" s="5">
        <f t="shared" si="0"/>
        <v>319.85567663808166</v>
      </c>
      <c r="G17" s="5">
        <f t="shared" si="1"/>
        <v>145.53</v>
      </c>
      <c r="H17" s="9">
        <f t="shared" si="2"/>
        <v>7.380449999999999</v>
      </c>
      <c r="I17" s="40">
        <f t="shared" si="3"/>
        <v>0.868421052631579</v>
      </c>
      <c r="J17">
        <v>78</v>
      </c>
      <c r="K17" s="9">
        <v>16.3</v>
      </c>
    </row>
    <row r="18" spans="1:11" ht="12.75">
      <c r="A18" t="s">
        <v>27</v>
      </c>
      <c r="B18" s="16" t="s">
        <v>79</v>
      </c>
      <c r="C18" s="1" t="s">
        <v>114</v>
      </c>
      <c r="D18">
        <v>115</v>
      </c>
      <c r="E18">
        <v>1320</v>
      </c>
      <c r="F18" s="5">
        <f t="shared" si="0"/>
        <v>444.8484089297583</v>
      </c>
      <c r="G18" s="5">
        <f t="shared" si="1"/>
        <v>151.8</v>
      </c>
      <c r="H18" s="9">
        <f t="shared" si="2"/>
        <v>7.69842857142857</v>
      </c>
      <c r="I18" s="40">
        <f t="shared" si="3"/>
        <v>1.1578947368421053</v>
      </c>
      <c r="J18">
        <v>90</v>
      </c>
      <c r="K18" s="9">
        <v>13.6</v>
      </c>
    </row>
    <row r="19" spans="1:11" ht="12.75">
      <c r="A19" t="s">
        <v>27</v>
      </c>
      <c r="B19" s="16" t="s">
        <v>99</v>
      </c>
      <c r="C19" s="1" t="s">
        <v>18</v>
      </c>
      <c r="D19">
        <v>115</v>
      </c>
      <c r="E19">
        <v>1225</v>
      </c>
      <c r="F19" s="5">
        <f t="shared" si="0"/>
        <v>383.12135195719617</v>
      </c>
      <c r="G19" s="5">
        <f t="shared" si="1"/>
        <v>140.875</v>
      </c>
      <c r="H19" s="9">
        <f t="shared" si="2"/>
        <v>7.144374999999999</v>
      </c>
      <c r="I19" s="40">
        <f t="shared" si="3"/>
        <v>1.0745614035087718</v>
      </c>
      <c r="K19" s="9"/>
    </row>
    <row r="20" spans="1:9" ht="12.75">
      <c r="A20" t="s">
        <v>27</v>
      </c>
      <c r="B20" s="16" t="s">
        <v>100</v>
      </c>
      <c r="C20" s="1" t="s">
        <v>18</v>
      </c>
      <c r="D20">
        <v>147</v>
      </c>
      <c r="E20">
        <v>990</v>
      </c>
      <c r="F20" s="5">
        <f t="shared" si="0"/>
        <v>319.85567663808166</v>
      </c>
      <c r="G20" s="5">
        <f t="shared" si="1"/>
        <v>145.53</v>
      </c>
      <c r="H20" s="9">
        <f t="shared" si="2"/>
        <v>7.380449999999999</v>
      </c>
      <c r="I20" s="40">
        <f t="shared" si="3"/>
        <v>0.868421052631579</v>
      </c>
    </row>
    <row r="21" spans="1:11" ht="12.75">
      <c r="A21" t="s">
        <v>27</v>
      </c>
      <c r="B21" s="16" t="s">
        <v>101</v>
      </c>
      <c r="C21" s="1" t="s">
        <v>30</v>
      </c>
      <c r="D21">
        <v>115</v>
      </c>
      <c r="E21">
        <v>1225</v>
      </c>
      <c r="F21" s="5">
        <f t="shared" si="0"/>
        <v>383.12135195719617</v>
      </c>
      <c r="G21" s="5">
        <f t="shared" si="1"/>
        <v>140.875</v>
      </c>
      <c r="H21" s="9">
        <f t="shared" si="2"/>
        <v>7.144374999999999</v>
      </c>
      <c r="I21" s="40">
        <f t="shared" si="3"/>
        <v>1.0745614035087718</v>
      </c>
      <c r="J21">
        <v>83</v>
      </c>
      <c r="K21" s="9">
        <v>13.7</v>
      </c>
    </row>
    <row r="22" spans="1:11" ht="12.75">
      <c r="A22" t="s">
        <v>27</v>
      </c>
      <c r="B22" s="16" t="s">
        <v>102</v>
      </c>
      <c r="C22" s="1" t="s">
        <v>30</v>
      </c>
      <c r="D22">
        <v>147</v>
      </c>
      <c r="E22">
        <v>1010</v>
      </c>
      <c r="F22" s="5">
        <f t="shared" si="0"/>
        <v>332.9096783374218</v>
      </c>
      <c r="G22" s="5">
        <f t="shared" si="1"/>
        <v>148.47</v>
      </c>
      <c r="H22" s="9">
        <f t="shared" si="2"/>
        <v>7.5295499999999995</v>
      </c>
      <c r="I22" s="40">
        <f t="shared" si="3"/>
        <v>0.8859649122807017</v>
      </c>
      <c r="K22" s="9"/>
    </row>
    <row r="23" spans="1:11" ht="12.75">
      <c r="A23" t="s">
        <v>37</v>
      </c>
      <c r="B23" s="16">
        <v>3508</v>
      </c>
      <c r="C23" s="1" t="s">
        <v>18</v>
      </c>
      <c r="D23">
        <v>115</v>
      </c>
      <c r="E23">
        <v>1145</v>
      </c>
      <c r="F23" s="5">
        <f t="shared" si="0"/>
        <v>334.71498239045934</v>
      </c>
      <c r="G23" s="5">
        <f t="shared" si="1"/>
        <v>131.675</v>
      </c>
      <c r="H23" s="9">
        <f t="shared" si="2"/>
        <v>6.67780357142857</v>
      </c>
      <c r="I23" s="40">
        <f t="shared" si="3"/>
        <v>1.0043859649122806</v>
      </c>
      <c r="K23" s="9"/>
    </row>
    <row r="24" spans="1:11" ht="12.75">
      <c r="A24" t="s">
        <v>38</v>
      </c>
      <c r="B24" s="16">
        <v>23614</v>
      </c>
      <c r="C24" s="1" t="s">
        <v>39</v>
      </c>
      <c r="D24">
        <v>115</v>
      </c>
      <c r="E24">
        <v>1200</v>
      </c>
      <c r="F24" s="5">
        <f t="shared" si="0"/>
        <v>367.6433131650895</v>
      </c>
      <c r="G24" s="5">
        <f t="shared" si="1"/>
        <v>138</v>
      </c>
      <c r="H24" s="9">
        <f t="shared" si="2"/>
        <v>6.998571428571427</v>
      </c>
      <c r="I24" s="40">
        <f t="shared" si="3"/>
        <v>1.0526315789473684</v>
      </c>
      <c r="J24">
        <v>80</v>
      </c>
      <c r="K24" s="9">
        <v>14.6</v>
      </c>
    </row>
    <row r="25" spans="1:11" ht="12.75">
      <c r="A25" t="s">
        <v>38</v>
      </c>
      <c r="B25" s="16">
        <v>23618</v>
      </c>
      <c r="C25" s="1" t="s">
        <v>39</v>
      </c>
      <c r="D25">
        <v>124</v>
      </c>
      <c r="E25">
        <v>1150</v>
      </c>
      <c r="F25" s="5">
        <f t="shared" si="0"/>
        <v>364.06900317598445</v>
      </c>
      <c r="G25" s="5">
        <f t="shared" si="1"/>
        <v>142.6</v>
      </c>
      <c r="H25" s="9">
        <f t="shared" si="2"/>
        <v>7.231857142857142</v>
      </c>
      <c r="I25" s="40">
        <f t="shared" si="3"/>
        <v>1.0087719298245614</v>
      </c>
      <c r="K25" s="9">
        <v>11.8</v>
      </c>
    </row>
    <row r="26" spans="1:11" ht="12.75">
      <c r="A26" t="s">
        <v>38</v>
      </c>
      <c r="B26" s="16">
        <v>23619</v>
      </c>
      <c r="C26" s="1" t="s">
        <v>39</v>
      </c>
      <c r="D26">
        <v>147</v>
      </c>
      <c r="E26">
        <v>985</v>
      </c>
      <c r="F26" s="5">
        <f t="shared" si="0"/>
        <v>316.63296996855706</v>
      </c>
      <c r="G26" s="5">
        <f t="shared" si="1"/>
        <v>144.795</v>
      </c>
      <c r="H26" s="9">
        <f t="shared" si="2"/>
        <v>7.343175</v>
      </c>
      <c r="I26" s="40">
        <f t="shared" si="3"/>
        <v>0.8640350877192983</v>
      </c>
      <c r="K26" s="9">
        <v>16.55</v>
      </c>
    </row>
    <row r="27" spans="1:11" ht="12.75">
      <c r="A27" t="s">
        <v>38</v>
      </c>
      <c r="B27" s="16">
        <v>23617</v>
      </c>
      <c r="C27" s="1" t="s">
        <v>103</v>
      </c>
      <c r="D27">
        <v>124</v>
      </c>
      <c r="E27">
        <v>1220</v>
      </c>
      <c r="F27" s="5">
        <f t="shared" si="0"/>
        <v>409.73936054981874</v>
      </c>
      <c r="G27" s="5">
        <f t="shared" si="1"/>
        <v>151.28</v>
      </c>
      <c r="H27" s="9">
        <f t="shared" si="2"/>
        <v>7.672057142857142</v>
      </c>
      <c r="I27" s="40">
        <f t="shared" si="3"/>
        <v>1.0701754385964912</v>
      </c>
      <c r="J27">
        <v>88</v>
      </c>
      <c r="K27" s="9">
        <v>13.6</v>
      </c>
    </row>
    <row r="28" spans="1:11" ht="12.75">
      <c r="A28" t="s">
        <v>40</v>
      </c>
      <c r="B28" s="16" t="s">
        <v>105</v>
      </c>
      <c r="C28" s="1" t="s">
        <v>78</v>
      </c>
      <c r="D28">
        <v>90</v>
      </c>
      <c r="E28">
        <v>1500</v>
      </c>
      <c r="F28" s="5">
        <f t="shared" si="0"/>
        <v>449.5638340333975</v>
      </c>
      <c r="G28" s="5">
        <f t="shared" si="1"/>
        <v>135</v>
      </c>
      <c r="H28" s="9">
        <f t="shared" si="2"/>
        <v>6.8464285714285715</v>
      </c>
      <c r="I28" s="40">
        <f t="shared" si="3"/>
        <v>1.3157894736842106</v>
      </c>
      <c r="K28" s="9"/>
    </row>
    <row r="29" spans="1:11" ht="12.75">
      <c r="A29" t="s">
        <v>40</v>
      </c>
      <c r="B29" s="16" t="s">
        <v>104</v>
      </c>
      <c r="C29" s="1" t="s">
        <v>78</v>
      </c>
      <c r="D29">
        <v>115</v>
      </c>
      <c r="E29">
        <v>1350</v>
      </c>
      <c r="F29" s="5">
        <f t="shared" si="0"/>
        <v>465.2985682245664</v>
      </c>
      <c r="G29" s="5">
        <f t="shared" si="1"/>
        <v>155.25</v>
      </c>
      <c r="H29" s="9">
        <f t="shared" si="2"/>
        <v>7.873392857142856</v>
      </c>
      <c r="I29" s="40">
        <f t="shared" si="3"/>
        <v>1.1842105263157894</v>
      </c>
      <c r="J29">
        <v>88</v>
      </c>
      <c r="K29" s="9">
        <v>11.2</v>
      </c>
    </row>
    <row r="30" spans="1:11" ht="12.75">
      <c r="A30" t="s">
        <v>40</v>
      </c>
      <c r="B30" s="16" t="s">
        <v>106</v>
      </c>
      <c r="C30" s="1" t="s">
        <v>78</v>
      </c>
      <c r="D30">
        <v>125</v>
      </c>
      <c r="E30">
        <v>1250</v>
      </c>
      <c r="F30" s="5">
        <f t="shared" si="0"/>
        <v>433.6070930106072</v>
      </c>
      <c r="G30" s="5">
        <f t="shared" si="1"/>
        <v>156.25</v>
      </c>
      <c r="H30" s="9">
        <f t="shared" si="2"/>
        <v>7.924107142857143</v>
      </c>
      <c r="I30" s="40">
        <f t="shared" si="3"/>
        <v>1.0964912280701755</v>
      </c>
      <c r="K30" s="9"/>
    </row>
    <row r="31" spans="1:11" ht="12.75">
      <c r="A31" t="s">
        <v>51</v>
      </c>
      <c r="B31" s="16" t="s">
        <v>107</v>
      </c>
      <c r="C31" s="1" t="s">
        <v>18</v>
      </c>
      <c r="D31">
        <v>115</v>
      </c>
      <c r="E31">
        <v>1160</v>
      </c>
      <c r="F31" s="5">
        <f t="shared" si="0"/>
        <v>343.542251524267</v>
      </c>
      <c r="G31" s="5">
        <f t="shared" si="1"/>
        <v>133.4</v>
      </c>
      <c r="H31" s="9">
        <f t="shared" si="2"/>
        <v>6.765285714285714</v>
      </c>
      <c r="I31" s="40">
        <f t="shared" si="3"/>
        <v>1.0175438596491229</v>
      </c>
      <c r="K31" s="9"/>
    </row>
    <row r="32" spans="1:11" ht="12.75">
      <c r="A32" t="s">
        <v>51</v>
      </c>
      <c r="B32" s="16" t="s">
        <v>108</v>
      </c>
      <c r="C32" s="1" t="s">
        <v>56</v>
      </c>
      <c r="D32">
        <v>124</v>
      </c>
      <c r="E32">
        <v>1090</v>
      </c>
      <c r="F32" s="5">
        <f t="shared" si="0"/>
        <v>327.0702326452833</v>
      </c>
      <c r="G32" s="5">
        <f t="shared" si="1"/>
        <v>135.16</v>
      </c>
      <c r="H32" s="9">
        <f t="shared" si="2"/>
        <v>6.854542857142857</v>
      </c>
      <c r="I32" s="40">
        <f t="shared" si="3"/>
        <v>0.956140350877193</v>
      </c>
      <c r="K32" s="9"/>
    </row>
    <row r="33" spans="1:11" ht="12.75">
      <c r="A33" t="s">
        <v>51</v>
      </c>
      <c r="B33" t="s">
        <v>109</v>
      </c>
      <c r="C33" s="1" t="s">
        <v>56</v>
      </c>
      <c r="D33">
        <v>147</v>
      </c>
      <c r="E33">
        <v>0</v>
      </c>
      <c r="F33" s="5">
        <f t="shared" si="0"/>
        <v>0</v>
      </c>
      <c r="G33" s="5">
        <f t="shared" si="1"/>
        <v>0</v>
      </c>
      <c r="H33" s="9">
        <f t="shared" si="2"/>
        <v>0</v>
      </c>
      <c r="I33" s="40">
        <f t="shared" si="3"/>
        <v>0</v>
      </c>
      <c r="K33" s="9"/>
    </row>
    <row r="34" spans="1:11" ht="12.75">
      <c r="A34" t="s">
        <v>51</v>
      </c>
      <c r="B34" t="s">
        <v>110</v>
      </c>
      <c r="C34" s="1" t="s">
        <v>56</v>
      </c>
      <c r="D34">
        <v>95</v>
      </c>
      <c r="E34">
        <v>1250</v>
      </c>
      <c r="F34" s="5">
        <f t="shared" si="0"/>
        <v>329.5413906880614</v>
      </c>
      <c r="G34" s="5">
        <f t="shared" si="1"/>
        <v>118.75</v>
      </c>
      <c r="H34" s="9">
        <f t="shared" si="2"/>
        <v>6.022321428571429</v>
      </c>
      <c r="I34" s="40">
        <f t="shared" si="3"/>
        <v>1.0964912280701755</v>
      </c>
      <c r="K34" s="9"/>
    </row>
    <row r="35" spans="1:11" ht="12.75">
      <c r="A35" s="10" t="s">
        <v>57</v>
      </c>
      <c r="B35" t="s">
        <v>111</v>
      </c>
      <c r="C35" s="11" t="s">
        <v>113</v>
      </c>
      <c r="D35" s="10">
        <v>115</v>
      </c>
      <c r="E35" s="10">
        <v>1325</v>
      </c>
      <c r="F35" s="12">
        <f t="shared" si="0"/>
        <v>448.22485533018073</v>
      </c>
      <c r="G35" s="12">
        <f t="shared" si="1"/>
        <v>152.375</v>
      </c>
      <c r="H35" s="9">
        <f t="shared" si="2"/>
        <v>7.727589285714284</v>
      </c>
      <c r="I35" s="40">
        <f t="shared" si="3"/>
        <v>1.162280701754386</v>
      </c>
      <c r="J35" s="10"/>
      <c r="K35" s="13"/>
    </row>
    <row r="36" spans="1:11" ht="12.75">
      <c r="A36" s="10" t="s">
        <v>57</v>
      </c>
      <c r="B36" t="s">
        <v>112</v>
      </c>
      <c r="C36" s="11" t="s">
        <v>113</v>
      </c>
      <c r="D36" s="10">
        <v>135</v>
      </c>
      <c r="E36" s="10">
        <v>0</v>
      </c>
      <c r="F36" s="12">
        <f t="shared" si="0"/>
        <v>0</v>
      </c>
      <c r="G36" s="12">
        <f t="shared" si="1"/>
        <v>0</v>
      </c>
      <c r="H36" s="9">
        <f t="shared" si="2"/>
        <v>0</v>
      </c>
      <c r="I36" s="40">
        <f t="shared" si="3"/>
        <v>0</v>
      </c>
      <c r="J36" s="10"/>
      <c r="K36" s="13"/>
    </row>
    <row r="37" spans="1:11" ht="12.75">
      <c r="A37" s="10" t="s">
        <v>154</v>
      </c>
      <c r="B37" s="10" t="s">
        <v>159</v>
      </c>
      <c r="C37" s="11" t="s">
        <v>78</v>
      </c>
      <c r="D37" s="10">
        <v>115</v>
      </c>
      <c r="E37" s="10">
        <v>1246</v>
      </c>
      <c r="F37" s="12">
        <f t="shared" si="0"/>
        <v>396.369531931814</v>
      </c>
      <c r="G37" s="12">
        <f t="shared" si="1"/>
        <v>143.29</v>
      </c>
      <c r="H37" s="9">
        <f t="shared" si="2"/>
        <v>7.26685</v>
      </c>
      <c r="I37" s="40">
        <f t="shared" si="3"/>
        <v>1.092982456140351</v>
      </c>
      <c r="J37" s="14"/>
      <c r="K37" s="15"/>
    </row>
    <row r="38" spans="1:11" ht="12.75">
      <c r="A38" s="10" t="s">
        <v>154</v>
      </c>
      <c r="B38" s="10" t="s">
        <v>160</v>
      </c>
      <c r="C38" s="11" t="s">
        <v>18</v>
      </c>
      <c r="D38" s="10">
        <v>124</v>
      </c>
      <c r="E38" s="10">
        <v>1096</v>
      </c>
      <c r="F38" s="12">
        <f t="shared" si="0"/>
        <v>330.68091623368116</v>
      </c>
      <c r="G38" s="12">
        <f t="shared" si="1"/>
        <v>135.904</v>
      </c>
      <c r="H38" s="9">
        <f t="shared" si="2"/>
        <v>6.892274285714286</v>
      </c>
      <c r="I38" s="40">
        <f t="shared" si="3"/>
        <v>0.9614035087719298</v>
      </c>
      <c r="J38" s="10"/>
      <c r="K38" s="13"/>
    </row>
    <row r="39" spans="1:11" ht="12.75">
      <c r="A39" s="10" t="s">
        <v>162</v>
      </c>
      <c r="C39" s="11" t="s">
        <v>163</v>
      </c>
      <c r="D39" s="10">
        <v>60</v>
      </c>
      <c r="E39" s="10">
        <v>2010</v>
      </c>
      <c r="F39" s="5">
        <f t="shared" si="0"/>
        <v>538.1578802602457</v>
      </c>
      <c r="G39" s="5">
        <f t="shared" si="1"/>
        <v>120.6</v>
      </c>
      <c r="H39" s="9">
        <f t="shared" si="2"/>
        <v>6.116142857142856</v>
      </c>
      <c r="I39" s="40">
        <f t="shared" si="3"/>
        <v>1.763157894736842</v>
      </c>
      <c r="J39">
        <v>90</v>
      </c>
      <c r="K39" s="9">
        <v>8</v>
      </c>
    </row>
    <row r="40" spans="1:12" ht="12.75">
      <c r="A40" s="10" t="s">
        <v>181</v>
      </c>
      <c r="B40">
        <v>90252</v>
      </c>
      <c r="C40" s="11" t="s">
        <v>182</v>
      </c>
      <c r="D40" s="10">
        <v>115</v>
      </c>
      <c r="E40" s="10">
        <v>1155</v>
      </c>
      <c r="F40" s="5">
        <f t="shared" si="0"/>
        <v>340.58706308684623</v>
      </c>
      <c r="G40" s="5">
        <f t="shared" si="1"/>
        <v>132.825</v>
      </c>
      <c r="H40" s="9">
        <f t="shared" si="2"/>
        <v>6.736124999999999</v>
      </c>
      <c r="I40" s="40">
        <f t="shared" si="3"/>
        <v>1.013157894736842</v>
      </c>
      <c r="K40" s="9"/>
      <c r="L40">
        <f>15.67/20</f>
        <v>0.7835</v>
      </c>
    </row>
    <row r="41" spans="1:12" ht="12.75">
      <c r="A41" s="10" t="s">
        <v>181</v>
      </c>
      <c r="B41">
        <v>90242</v>
      </c>
      <c r="C41" s="11" t="s">
        <v>182</v>
      </c>
      <c r="D41" s="10">
        <v>124</v>
      </c>
      <c r="E41" s="10">
        <v>1110</v>
      </c>
      <c r="F41" s="5">
        <f t="shared" si="0"/>
        <v>339.18292537854853</v>
      </c>
      <c r="G41" s="5">
        <f t="shared" si="1"/>
        <v>137.64</v>
      </c>
      <c r="H41" s="9">
        <f t="shared" si="2"/>
        <v>6.980314285714285</v>
      </c>
      <c r="I41" s="40">
        <f t="shared" si="3"/>
        <v>0.9736842105263158</v>
      </c>
      <c r="K41" s="9"/>
      <c r="L41">
        <f>15.67/20</f>
        <v>0.7835</v>
      </c>
    </row>
    <row r="42" spans="1:12" ht="12.75">
      <c r="A42" s="10" t="s">
        <v>181</v>
      </c>
      <c r="B42">
        <v>90282</v>
      </c>
      <c r="C42" s="11" t="s">
        <v>182</v>
      </c>
      <c r="D42" s="10">
        <v>147</v>
      </c>
      <c r="E42" s="10">
        <v>975</v>
      </c>
      <c r="F42" s="5">
        <f t="shared" si="0"/>
        <v>310.2365091358804</v>
      </c>
      <c r="G42" s="5">
        <f t="shared" si="1"/>
        <v>143.325</v>
      </c>
      <c r="H42" s="9">
        <f t="shared" si="2"/>
        <v>7.268624999999999</v>
      </c>
      <c r="I42" s="40">
        <f t="shared" si="3"/>
        <v>0.8552631578947368</v>
      </c>
      <c r="K42" s="9"/>
      <c r="L42">
        <f>15.67/20</f>
        <v>0.7835</v>
      </c>
    </row>
    <row r="43" spans="6:11" ht="12.75">
      <c r="F43" s="5"/>
      <c r="G43" s="5"/>
      <c r="K43" s="9"/>
    </row>
    <row r="44" spans="1:11" ht="12.75">
      <c r="A44" t="s">
        <v>215</v>
      </c>
      <c r="F44" s="5"/>
      <c r="G44" s="5"/>
      <c r="K44" s="9"/>
    </row>
    <row r="45" spans="1:12" ht="12.75">
      <c r="A45" t="s">
        <v>307</v>
      </c>
      <c r="C45" s="11"/>
      <c r="D45">
        <v>115</v>
      </c>
      <c r="F45" s="5"/>
      <c r="G45" s="5"/>
      <c r="K45" s="9"/>
      <c r="L45">
        <f>(199+49.75)/2000</f>
        <v>0.124375</v>
      </c>
    </row>
    <row r="46" spans="1:12" ht="12.75">
      <c r="A46" t="s">
        <v>308</v>
      </c>
      <c r="D46">
        <v>115</v>
      </c>
      <c r="E46">
        <v>1280</v>
      </c>
      <c r="L46">
        <f>(120+20)/1000</f>
        <v>0.14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J1" sqref="J1:J16384"/>
    </sheetView>
  </sheetViews>
  <sheetFormatPr defaultColWidth="9.140625" defaultRowHeight="12.75"/>
  <cols>
    <col min="3" max="3" width="12.421875" style="0" customWidth="1"/>
  </cols>
  <sheetData>
    <row r="1" spans="1:16" ht="26.25">
      <c r="A1" s="28" t="s">
        <v>261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" t="s">
        <v>5</v>
      </c>
      <c r="K2" s="8" t="s">
        <v>6</v>
      </c>
      <c r="L2" s="23" t="s">
        <v>179</v>
      </c>
      <c r="M2" s="23"/>
      <c r="N2" s="4"/>
      <c r="O2" s="4"/>
      <c r="P2" s="4"/>
      <c r="Q2" s="4"/>
    </row>
    <row r="3" spans="1:15" ht="12.75">
      <c r="A3" t="s">
        <v>8</v>
      </c>
      <c r="B3" s="7"/>
      <c r="C3" s="1" t="s">
        <v>16</v>
      </c>
      <c r="D3">
        <v>110</v>
      </c>
      <c r="E3">
        <v>1000</v>
      </c>
      <c r="F3" s="5">
        <f aca="true" t="shared" si="0" ref="F3:F17">0.5*D3*$P$8*E3*E3</f>
        <v>244.2075147835739</v>
      </c>
      <c r="G3" s="5">
        <f aca="true" t="shared" si="1" ref="G3:G17">D3*E3/1000</f>
        <v>110</v>
      </c>
      <c r="H3" s="9">
        <f aca="true" t="shared" si="2" ref="H3:H17">0.357*D3*E3/7000</f>
        <v>5.6099999999999985</v>
      </c>
      <c r="I3" s="40">
        <f>E3/$P$7</f>
        <v>0.8771929824561403</v>
      </c>
      <c r="K3" s="9"/>
      <c r="L3" s="22"/>
      <c r="M3" s="22"/>
      <c r="O3" t="s">
        <v>19</v>
      </c>
    </row>
    <row r="4" spans="1:17" ht="12.75">
      <c r="A4" t="s">
        <v>8</v>
      </c>
      <c r="B4" s="7"/>
      <c r="C4" s="1" t="s">
        <v>18</v>
      </c>
      <c r="D4">
        <v>125</v>
      </c>
      <c r="E4">
        <v>950</v>
      </c>
      <c r="F4" s="5">
        <f t="shared" si="0"/>
        <v>250.45145692292667</v>
      </c>
      <c r="G4" s="5">
        <f t="shared" si="1"/>
        <v>118.75</v>
      </c>
      <c r="H4" s="9">
        <f t="shared" si="2"/>
        <v>6.05625</v>
      </c>
      <c r="I4" s="40">
        <f aca="true" t="shared" si="3" ref="I4:I17">E4/$P$7</f>
        <v>0.8333333333333334</v>
      </c>
      <c r="K4" s="9"/>
      <c r="L4" s="22"/>
      <c r="M4" s="22"/>
      <c r="O4" t="s">
        <v>20</v>
      </c>
      <c r="P4">
        <v>0.0647989</v>
      </c>
      <c r="Q4" t="s">
        <v>21</v>
      </c>
    </row>
    <row r="5" spans="1:17" ht="12.75">
      <c r="A5" t="s">
        <v>8</v>
      </c>
      <c r="B5" s="7"/>
      <c r="C5" s="1" t="s">
        <v>16</v>
      </c>
      <c r="D5">
        <v>129</v>
      </c>
      <c r="E5">
        <v>950</v>
      </c>
      <c r="F5" s="5">
        <f t="shared" si="0"/>
        <v>258.4659035444604</v>
      </c>
      <c r="G5" s="5">
        <f t="shared" si="1"/>
        <v>122.55</v>
      </c>
      <c r="H5" s="9">
        <f t="shared" si="2"/>
        <v>6.25005</v>
      </c>
      <c r="I5" s="40">
        <f t="shared" si="3"/>
        <v>0.8333333333333334</v>
      </c>
      <c r="K5" s="9"/>
      <c r="L5" s="22"/>
      <c r="M5" s="22"/>
      <c r="O5" t="s">
        <v>22</v>
      </c>
      <c r="P5">
        <v>0.3048</v>
      </c>
      <c r="Q5" t="s">
        <v>23</v>
      </c>
    </row>
    <row r="6" spans="1:17" ht="12.75">
      <c r="A6" t="s">
        <v>44</v>
      </c>
      <c r="C6" s="1" t="s">
        <v>286</v>
      </c>
      <c r="D6">
        <v>110</v>
      </c>
      <c r="E6">
        <v>995</v>
      </c>
      <c r="F6" s="5">
        <f t="shared" si="0"/>
        <v>241.77154482360777</v>
      </c>
      <c r="G6" s="5">
        <f t="shared" si="1"/>
        <v>109.45</v>
      </c>
      <c r="H6" s="9">
        <f t="shared" si="2"/>
        <v>5.581949999999999</v>
      </c>
      <c r="I6" s="40">
        <f t="shared" si="3"/>
        <v>0.8728070175438597</v>
      </c>
      <c r="K6" s="9"/>
      <c r="L6" s="22"/>
      <c r="M6" s="22"/>
      <c r="O6" t="s">
        <v>24</v>
      </c>
      <c r="P6">
        <v>340</v>
      </c>
      <c r="Q6" t="s">
        <v>23</v>
      </c>
    </row>
    <row r="7" spans="1:17" ht="12.75">
      <c r="A7" t="s">
        <v>44</v>
      </c>
      <c r="B7" s="7"/>
      <c r="C7" s="1" t="s">
        <v>286</v>
      </c>
      <c r="D7">
        <v>110</v>
      </c>
      <c r="E7">
        <v>950</v>
      </c>
      <c r="F7" s="5">
        <f t="shared" si="0"/>
        <v>220.39728209217546</v>
      </c>
      <c r="G7" s="5">
        <f t="shared" si="1"/>
        <v>104.5</v>
      </c>
      <c r="H7" s="9">
        <f t="shared" si="2"/>
        <v>5.329499999999999</v>
      </c>
      <c r="I7" s="40">
        <f t="shared" si="3"/>
        <v>0.8333333333333334</v>
      </c>
      <c r="K7" s="9"/>
      <c r="L7" s="22"/>
      <c r="M7" s="22"/>
      <c r="P7">
        <v>1140</v>
      </c>
      <c r="Q7" t="s">
        <v>25</v>
      </c>
    </row>
    <row r="8" spans="1:17" ht="12.75">
      <c r="A8" t="s">
        <v>44</v>
      </c>
      <c r="B8" s="7"/>
      <c r="C8" s="1" t="s">
        <v>286</v>
      </c>
      <c r="D8">
        <v>125</v>
      </c>
      <c r="E8">
        <v>945</v>
      </c>
      <c r="F8" s="5">
        <f t="shared" si="0"/>
        <v>247.82206351091037</v>
      </c>
      <c r="G8" s="5">
        <f t="shared" si="1"/>
        <v>118.125</v>
      </c>
      <c r="H8" s="9">
        <f t="shared" si="2"/>
        <v>6.024375</v>
      </c>
      <c r="I8" s="40">
        <f t="shared" si="3"/>
        <v>0.8289473684210527</v>
      </c>
      <c r="K8" s="9"/>
      <c r="L8" s="22"/>
      <c r="M8" s="22"/>
      <c r="O8" t="s">
        <v>20</v>
      </c>
      <c r="P8">
        <f>1*0.00006479891/14.5939</f>
        <v>4.440136632428617E-06</v>
      </c>
      <c r="Q8" t="s">
        <v>28</v>
      </c>
    </row>
    <row r="9" spans="1:15" ht="12.75">
      <c r="A9" t="s">
        <v>44</v>
      </c>
      <c r="B9" s="7"/>
      <c r="C9" s="1" t="s">
        <v>287</v>
      </c>
      <c r="D9">
        <v>125</v>
      </c>
      <c r="E9">
        <v>975</v>
      </c>
      <c r="F9" s="5">
        <f t="shared" si="0"/>
        <v>263.8065553876534</v>
      </c>
      <c r="G9" s="5">
        <f t="shared" si="1"/>
        <v>121.875</v>
      </c>
      <c r="H9" s="9">
        <f t="shared" si="2"/>
        <v>6.215625</v>
      </c>
      <c r="I9" s="40">
        <f t="shared" si="3"/>
        <v>0.8552631578947368</v>
      </c>
      <c r="K9" s="9"/>
      <c r="L9" s="22"/>
      <c r="M9" s="22"/>
      <c r="O9" t="s">
        <v>258</v>
      </c>
    </row>
    <row r="10" spans="1:13" ht="12.75">
      <c r="A10" t="s">
        <v>44</v>
      </c>
      <c r="B10" s="7"/>
      <c r="C10" s="1" t="s">
        <v>78</v>
      </c>
      <c r="D10">
        <v>125</v>
      </c>
      <c r="E10">
        <v>945</v>
      </c>
      <c r="F10" s="5">
        <f t="shared" si="0"/>
        <v>247.82206351091037</v>
      </c>
      <c r="G10" s="5">
        <f t="shared" si="1"/>
        <v>118.125</v>
      </c>
      <c r="H10" s="9">
        <f t="shared" si="2"/>
        <v>6.024375</v>
      </c>
      <c r="I10" s="40">
        <f t="shared" si="3"/>
        <v>0.8289473684210527</v>
      </c>
      <c r="K10" s="9"/>
      <c r="L10" s="22"/>
      <c r="M10" s="22"/>
    </row>
    <row r="11" spans="1:13" ht="12.75">
      <c r="A11" t="s">
        <v>27</v>
      </c>
      <c r="B11" s="2"/>
      <c r="C11" s="1" t="s">
        <v>291</v>
      </c>
      <c r="D11">
        <v>110</v>
      </c>
      <c r="E11">
        <v>945</v>
      </c>
      <c r="F11" s="5">
        <f t="shared" si="0"/>
        <v>218.0834158896011</v>
      </c>
      <c r="G11" s="5">
        <f t="shared" si="1"/>
        <v>103.95</v>
      </c>
      <c r="H11" s="9">
        <f t="shared" si="2"/>
        <v>5.301449999999999</v>
      </c>
      <c r="I11" s="40">
        <f t="shared" si="3"/>
        <v>0.8289473684210527</v>
      </c>
      <c r="K11" s="9"/>
      <c r="L11" s="22"/>
      <c r="M11" s="22"/>
    </row>
    <row r="12" spans="1:13" ht="12.75">
      <c r="A12" t="s">
        <v>27</v>
      </c>
      <c r="B12" s="2"/>
      <c r="C12" s="1" t="s">
        <v>221</v>
      </c>
      <c r="D12">
        <v>125</v>
      </c>
      <c r="E12">
        <v>850</v>
      </c>
      <c r="F12" s="5">
        <f t="shared" si="0"/>
        <v>200.49991980810475</v>
      </c>
      <c r="G12" s="5">
        <f t="shared" si="1"/>
        <v>106.25</v>
      </c>
      <c r="H12" s="9">
        <f t="shared" si="2"/>
        <v>5.41875</v>
      </c>
      <c r="I12" s="40">
        <f t="shared" si="3"/>
        <v>0.7456140350877193</v>
      </c>
      <c r="K12" s="9"/>
      <c r="L12" s="22"/>
      <c r="M12" s="22"/>
    </row>
    <row r="13" spans="1:13" ht="12.75">
      <c r="A13" t="s">
        <v>27</v>
      </c>
      <c r="B13" s="2"/>
      <c r="C13" s="1" t="s">
        <v>26</v>
      </c>
      <c r="D13">
        <v>130</v>
      </c>
      <c r="E13">
        <v>800</v>
      </c>
      <c r="F13" s="5">
        <f t="shared" si="0"/>
        <v>184.70968390903047</v>
      </c>
      <c r="G13" s="5">
        <f t="shared" si="1"/>
        <v>104</v>
      </c>
      <c r="H13" s="9">
        <f t="shared" si="2"/>
        <v>5.304</v>
      </c>
      <c r="I13" s="40">
        <f t="shared" si="3"/>
        <v>0.7017543859649122</v>
      </c>
      <c r="K13" s="9"/>
      <c r="L13" s="22"/>
      <c r="M13" s="22"/>
    </row>
    <row r="14" spans="1:13" ht="12.75">
      <c r="A14" t="s">
        <v>27</v>
      </c>
      <c r="B14" s="2"/>
      <c r="C14" s="1" t="s">
        <v>292</v>
      </c>
      <c r="D14">
        <v>125</v>
      </c>
      <c r="E14">
        <v>945</v>
      </c>
      <c r="F14" s="5">
        <f t="shared" si="0"/>
        <v>247.82206351091037</v>
      </c>
      <c r="G14" s="5">
        <f t="shared" si="1"/>
        <v>118.125</v>
      </c>
      <c r="H14" s="9">
        <f t="shared" si="2"/>
        <v>6.024375</v>
      </c>
      <c r="I14" s="40">
        <f t="shared" si="3"/>
        <v>0.8289473684210527</v>
      </c>
      <c r="K14" s="9"/>
      <c r="L14" s="22"/>
      <c r="M14" s="22"/>
    </row>
    <row r="15" spans="1:13" ht="12.75">
      <c r="A15" t="s">
        <v>27</v>
      </c>
      <c r="B15" s="2"/>
      <c r="C15" s="1" t="s">
        <v>34</v>
      </c>
      <c r="D15">
        <v>130</v>
      </c>
      <c r="E15">
        <v>925</v>
      </c>
      <c r="F15" s="5">
        <f t="shared" si="0"/>
        <v>246.9409738979128</v>
      </c>
      <c r="G15" s="5">
        <f t="shared" si="1"/>
        <v>120.25</v>
      </c>
      <c r="H15" s="9">
        <f t="shared" si="2"/>
        <v>6.13275</v>
      </c>
      <c r="I15" s="40">
        <f t="shared" si="3"/>
        <v>0.8114035087719298</v>
      </c>
      <c r="K15" s="9"/>
      <c r="L15" s="22"/>
      <c r="M15" s="22"/>
    </row>
    <row r="16" spans="1:13" ht="12.75">
      <c r="A16" t="s">
        <v>38</v>
      </c>
      <c r="B16" s="2"/>
      <c r="C16" s="1" t="s">
        <v>103</v>
      </c>
      <c r="D16">
        <v>125</v>
      </c>
      <c r="E16">
        <v>945</v>
      </c>
      <c r="F16" s="5">
        <f t="shared" si="0"/>
        <v>247.82206351091037</v>
      </c>
      <c r="G16" s="5">
        <f t="shared" si="1"/>
        <v>118.125</v>
      </c>
      <c r="H16" s="9">
        <f t="shared" si="2"/>
        <v>6.024375</v>
      </c>
      <c r="I16" s="40">
        <f t="shared" si="3"/>
        <v>0.8289473684210527</v>
      </c>
      <c r="K16" s="9"/>
      <c r="L16" s="22"/>
      <c r="M16" s="22"/>
    </row>
    <row r="17" spans="1:13" ht="12.75">
      <c r="A17" t="s">
        <v>57</v>
      </c>
      <c r="B17" s="2"/>
      <c r="C17" s="1" t="s">
        <v>113</v>
      </c>
      <c r="D17">
        <v>110</v>
      </c>
      <c r="E17">
        <v>1175</v>
      </c>
      <c r="F17" s="5">
        <f t="shared" si="0"/>
        <v>337.1590000980718</v>
      </c>
      <c r="G17" s="5">
        <f t="shared" si="1"/>
        <v>129.25</v>
      </c>
      <c r="H17" s="9">
        <f t="shared" si="2"/>
        <v>6.591749999999999</v>
      </c>
      <c r="I17" s="40">
        <f t="shared" si="3"/>
        <v>1.030701754385965</v>
      </c>
      <c r="K17" s="9"/>
      <c r="L17" s="22"/>
      <c r="M17" s="22"/>
    </row>
    <row r="18" spans="2:13" ht="12.75">
      <c r="B18" s="2"/>
      <c r="C18" s="1"/>
      <c r="F18" s="5"/>
      <c r="G18" s="5"/>
      <c r="H18" s="9"/>
      <c r="I18" s="5"/>
      <c r="K18" s="9"/>
      <c r="L18" s="22"/>
      <c r="M18" s="22"/>
    </row>
    <row r="19" spans="2:13" ht="12.75">
      <c r="B19" s="2"/>
      <c r="C19" s="1"/>
      <c r="F19" s="5"/>
      <c r="G19" s="5"/>
      <c r="H19" s="9"/>
      <c r="I19" s="5"/>
      <c r="K19" s="9"/>
      <c r="L19" s="22"/>
      <c r="M19" s="22"/>
    </row>
    <row r="20" spans="2:13" ht="12.75">
      <c r="B20" s="2"/>
      <c r="C20" s="1"/>
      <c r="F20" s="5"/>
      <c r="G20" s="5"/>
      <c r="H20" s="9"/>
      <c r="I20" s="5"/>
      <c r="K20" s="9"/>
      <c r="L20" s="22"/>
      <c r="M20" s="22"/>
    </row>
    <row r="21" spans="2:13" ht="12.75">
      <c r="B21" s="2"/>
      <c r="C21" s="1"/>
      <c r="F21" s="5"/>
      <c r="G21" s="5"/>
      <c r="H21" s="9"/>
      <c r="I21" s="5"/>
      <c r="K21" s="9"/>
      <c r="L21" s="22"/>
      <c r="M21" s="22"/>
    </row>
    <row r="22" spans="2:13" ht="12.75">
      <c r="B22" s="2"/>
      <c r="C22" s="1"/>
      <c r="F22" s="5"/>
      <c r="G22" s="5"/>
      <c r="H22" s="9"/>
      <c r="I22" s="5"/>
      <c r="K22" s="9"/>
      <c r="L22" s="22"/>
      <c r="M22" s="22"/>
    </row>
    <row r="23" spans="3:13" ht="12.75">
      <c r="C23" s="1"/>
      <c r="F23" s="5"/>
      <c r="G23" s="5"/>
      <c r="H23" s="9"/>
      <c r="I23" s="5"/>
      <c r="K23" s="9"/>
      <c r="L23" s="22"/>
      <c r="M23" s="22"/>
    </row>
    <row r="24" spans="1:13" ht="12.75">
      <c r="A24" s="10"/>
      <c r="B24" s="10"/>
      <c r="C24" s="11"/>
      <c r="D24" s="10"/>
      <c r="E24" s="10"/>
      <c r="F24" s="12"/>
      <c r="G24" s="12"/>
      <c r="H24" s="9"/>
      <c r="I24" s="5"/>
      <c r="J24" s="10"/>
      <c r="K24" s="13"/>
      <c r="L24" s="22"/>
      <c r="M24" s="22"/>
    </row>
    <row r="25" spans="1:13" ht="12.75">
      <c r="A25" s="10"/>
      <c r="B25" s="10"/>
      <c r="C25" s="11"/>
      <c r="D25" s="10"/>
      <c r="E25" s="10"/>
      <c r="F25" s="12"/>
      <c r="G25" s="12"/>
      <c r="H25" s="9"/>
      <c r="I25" s="5"/>
      <c r="J25" s="10"/>
      <c r="K25" s="13"/>
      <c r="L25" s="22"/>
      <c r="M25" s="22"/>
    </row>
    <row r="26" spans="3:13" ht="12.75">
      <c r="C26" s="1"/>
      <c r="F26" s="5"/>
      <c r="G26" s="5"/>
      <c r="H26" s="9"/>
      <c r="I26" s="5"/>
      <c r="K26" s="9"/>
      <c r="L26" s="22"/>
      <c r="M26" s="22"/>
    </row>
    <row r="27" spans="3:13" ht="12.75">
      <c r="C27" s="1"/>
      <c r="F27" s="5"/>
      <c r="G27" s="5"/>
      <c r="H27" s="9"/>
      <c r="I27" s="5"/>
      <c r="K27" s="9"/>
      <c r="L27" s="22"/>
      <c r="M27" s="22"/>
    </row>
    <row r="28" spans="3:13" ht="12.75">
      <c r="C28" s="1"/>
      <c r="F28" s="5"/>
      <c r="G28" s="5"/>
      <c r="H28" s="9"/>
      <c r="I28" s="5"/>
      <c r="K28" s="9"/>
      <c r="L28" s="22"/>
      <c r="M28" s="22"/>
    </row>
    <row r="29" spans="3:13" ht="12.75">
      <c r="C29" s="1"/>
      <c r="F29" s="5"/>
      <c r="G29" s="5"/>
      <c r="H29" s="9"/>
      <c r="I29" s="5"/>
      <c r="K29" s="9"/>
      <c r="L29" s="22"/>
      <c r="M29" s="22"/>
    </row>
    <row r="30" spans="3:13" ht="12.75">
      <c r="C30" s="1"/>
      <c r="F30" s="5"/>
      <c r="G30" s="5"/>
      <c r="H30" s="9"/>
      <c r="I30" s="5"/>
      <c r="K30" s="9"/>
      <c r="L30" s="22"/>
      <c r="M30" s="22"/>
    </row>
    <row r="31" spans="3:13" ht="12.75">
      <c r="C31" s="1"/>
      <c r="F31" s="5"/>
      <c r="G31" s="5"/>
      <c r="H31" s="9"/>
      <c r="I31" s="5"/>
      <c r="K31" s="9"/>
      <c r="L31" s="22"/>
      <c r="M31" s="22"/>
    </row>
    <row r="32" spans="3:13" ht="12.75">
      <c r="C32" s="1"/>
      <c r="F32" s="5"/>
      <c r="G32" s="5"/>
      <c r="H32" s="9"/>
      <c r="I32" s="5"/>
      <c r="K32" s="9"/>
      <c r="L32" s="22"/>
      <c r="M32" s="22"/>
    </row>
    <row r="33" spans="1:13" ht="12.75">
      <c r="A33" s="10"/>
      <c r="B33" s="10"/>
      <c r="C33" s="11"/>
      <c r="D33" s="10"/>
      <c r="E33" s="10"/>
      <c r="F33" s="12"/>
      <c r="G33" s="12"/>
      <c r="H33" s="9"/>
      <c r="I33" s="5"/>
      <c r="J33" s="14"/>
      <c r="K33" s="15"/>
      <c r="L33" s="22"/>
      <c r="M33" s="22"/>
    </row>
    <row r="34" spans="1:13" ht="12.75">
      <c r="A34" s="10"/>
      <c r="B34" s="10"/>
      <c r="C34" s="11"/>
      <c r="D34" s="10"/>
      <c r="E34" s="10"/>
      <c r="F34" s="5"/>
      <c r="G34" s="5"/>
      <c r="H34" s="9"/>
      <c r="I34" s="5"/>
      <c r="K34" s="9"/>
      <c r="L34" s="22"/>
      <c r="M34" s="22"/>
    </row>
    <row r="35" spans="1:13" ht="12.75">
      <c r="A35" s="10"/>
      <c r="B35" s="10"/>
      <c r="C35" s="11"/>
      <c r="D35" s="10"/>
      <c r="E35" s="10"/>
      <c r="F35" s="5"/>
      <c r="G35" s="5"/>
      <c r="H35" s="9"/>
      <c r="I35" s="5"/>
      <c r="K35" s="9"/>
      <c r="L35" s="22"/>
      <c r="M35" s="22"/>
    </row>
    <row r="36" spans="1:13" ht="12.75">
      <c r="A36" s="10"/>
      <c r="C36" s="11"/>
      <c r="D36" s="10"/>
      <c r="E36" s="10"/>
      <c r="F36" s="5"/>
      <c r="G36" s="5"/>
      <c r="H36" s="9"/>
      <c r="I36" s="5"/>
      <c r="J36" s="10"/>
      <c r="K36" s="9"/>
      <c r="L36" s="22"/>
      <c r="M36" s="22"/>
    </row>
    <row r="37" spans="1:13" ht="12.75">
      <c r="A37" s="10"/>
      <c r="C37" s="11"/>
      <c r="D37" s="10"/>
      <c r="E37" s="10"/>
      <c r="F37" s="5"/>
      <c r="G37" s="5"/>
      <c r="H37" s="9"/>
      <c r="I37" s="5"/>
      <c r="K37" s="9"/>
      <c r="L37" s="22"/>
      <c r="M37" s="22"/>
    </row>
    <row r="38" spans="1:13" ht="12.75">
      <c r="A38" s="10"/>
      <c r="C38" s="11"/>
      <c r="D38" s="10"/>
      <c r="E38" s="10"/>
      <c r="F38" s="5"/>
      <c r="G38" s="5"/>
      <c r="H38" s="9"/>
      <c r="I38" s="5"/>
      <c r="K38" s="9"/>
      <c r="L38" s="22"/>
      <c r="M38" s="22"/>
    </row>
    <row r="39" spans="1:13" ht="12.75">
      <c r="A39" s="10"/>
      <c r="C39" s="11"/>
      <c r="D39" s="10"/>
      <c r="E39" s="10"/>
      <c r="F39" s="5"/>
      <c r="G39" s="5"/>
      <c r="H39" s="9"/>
      <c r="I39" s="5"/>
      <c r="K39" s="9"/>
      <c r="L39" s="22"/>
      <c r="M39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F11" sqref="F11"/>
    </sheetView>
  </sheetViews>
  <sheetFormatPr defaultColWidth="9.140625" defaultRowHeight="12.75"/>
  <sheetData>
    <row r="1" spans="1:16" ht="26.25">
      <c r="A1" s="28" t="s">
        <v>260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38.25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" t="s">
        <v>5</v>
      </c>
      <c r="K2" s="8" t="s">
        <v>6</v>
      </c>
      <c r="L2" s="23" t="s">
        <v>179</v>
      </c>
      <c r="M2" s="23"/>
      <c r="N2" s="4"/>
      <c r="O2" s="4"/>
      <c r="P2" s="4"/>
      <c r="Q2" s="4"/>
      <c r="R2" s="4"/>
    </row>
    <row r="3" spans="1:15" ht="12.75">
      <c r="A3" t="s">
        <v>8</v>
      </c>
      <c r="B3" s="7"/>
      <c r="C3" s="1" t="s">
        <v>18</v>
      </c>
      <c r="D3">
        <v>125</v>
      </c>
      <c r="E3">
        <v>1450</v>
      </c>
      <c r="F3" s="5">
        <f aca="true" t="shared" si="0" ref="F3:F27">0.5*D3*$P$8*E3*E3</f>
        <v>583.4617043550729</v>
      </c>
      <c r="G3" s="5">
        <f aca="true" t="shared" si="1" ref="G3:G27">D3*E3/1000</f>
        <v>181.25</v>
      </c>
      <c r="H3" s="9">
        <f aca="true" t="shared" si="2" ref="H3:H27">0.357*D3*E3/7000</f>
        <v>9.24375</v>
      </c>
      <c r="I3" s="40">
        <f>E3/$P$7</f>
        <v>1.2719298245614035</v>
      </c>
      <c r="J3">
        <v>96</v>
      </c>
      <c r="K3" s="9">
        <v>11.1</v>
      </c>
      <c r="L3" s="22"/>
      <c r="M3" s="22"/>
      <c r="O3" t="s">
        <v>19</v>
      </c>
    </row>
    <row r="4" spans="1:17" ht="12.75">
      <c r="A4" t="s">
        <v>8</v>
      </c>
      <c r="B4" s="7"/>
      <c r="C4" s="1" t="s">
        <v>16</v>
      </c>
      <c r="D4">
        <v>130</v>
      </c>
      <c r="E4">
        <v>1300</v>
      </c>
      <c r="F4" s="5">
        <f t="shared" si="0"/>
        <v>487.7490090722836</v>
      </c>
      <c r="G4" s="5">
        <f t="shared" si="1"/>
        <v>169</v>
      </c>
      <c r="H4" s="9">
        <f t="shared" si="2"/>
        <v>8.619</v>
      </c>
      <c r="I4" s="40">
        <f aca="true" t="shared" si="3" ref="I4:I26">E4/$P$7</f>
        <v>1.1403508771929824</v>
      </c>
      <c r="K4" s="9"/>
      <c r="L4" s="22"/>
      <c r="M4" s="22"/>
      <c r="O4" t="s">
        <v>20</v>
      </c>
      <c r="P4">
        <v>0.0647989</v>
      </c>
      <c r="Q4" t="s">
        <v>21</v>
      </c>
    </row>
    <row r="5" spans="1:17" ht="12.75">
      <c r="A5" t="s">
        <v>8</v>
      </c>
      <c r="B5" s="7"/>
      <c r="C5" s="1" t="s">
        <v>221</v>
      </c>
      <c r="D5">
        <v>158</v>
      </c>
      <c r="E5">
        <v>1240</v>
      </c>
      <c r="F5" s="5">
        <f t="shared" si="0"/>
        <v>539.3451727957571</v>
      </c>
      <c r="G5" s="5">
        <f t="shared" si="1"/>
        <v>195.92</v>
      </c>
      <c r="H5" s="9">
        <f t="shared" si="2"/>
        <v>9.99192</v>
      </c>
      <c r="I5" s="40">
        <f t="shared" si="3"/>
        <v>1.087719298245614</v>
      </c>
      <c r="K5" s="9"/>
      <c r="L5" s="22"/>
      <c r="M5" s="22"/>
      <c r="O5" t="s">
        <v>22</v>
      </c>
      <c r="P5">
        <v>0.3048</v>
      </c>
      <c r="Q5" t="s">
        <v>23</v>
      </c>
    </row>
    <row r="6" spans="1:17" ht="12.75">
      <c r="A6" t="s">
        <v>8</v>
      </c>
      <c r="B6" s="7"/>
      <c r="C6" s="1" t="s">
        <v>18</v>
      </c>
      <c r="D6">
        <v>158</v>
      </c>
      <c r="E6">
        <v>1240</v>
      </c>
      <c r="F6" s="5">
        <f t="shared" si="0"/>
        <v>539.3451727957571</v>
      </c>
      <c r="G6" s="5">
        <f t="shared" si="1"/>
        <v>195.92</v>
      </c>
      <c r="H6" s="9">
        <f t="shared" si="2"/>
        <v>9.99192</v>
      </c>
      <c r="I6" s="40">
        <f t="shared" si="3"/>
        <v>1.087719298245614</v>
      </c>
      <c r="K6" s="9"/>
      <c r="L6" s="22"/>
      <c r="M6" s="22"/>
      <c r="O6" t="s">
        <v>24</v>
      </c>
      <c r="P6">
        <v>340</v>
      </c>
      <c r="Q6" t="s">
        <v>23</v>
      </c>
    </row>
    <row r="7" spans="1:17" ht="12.75">
      <c r="A7" t="s">
        <v>8</v>
      </c>
      <c r="B7" s="7"/>
      <c r="C7" s="1" t="s">
        <v>16</v>
      </c>
      <c r="D7">
        <v>158</v>
      </c>
      <c r="E7">
        <v>1240</v>
      </c>
      <c r="F7" s="5">
        <f t="shared" si="0"/>
        <v>539.3451727957571</v>
      </c>
      <c r="G7" s="5">
        <f t="shared" si="1"/>
        <v>195.92</v>
      </c>
      <c r="H7" s="9">
        <f t="shared" si="2"/>
        <v>9.99192</v>
      </c>
      <c r="I7" s="40">
        <f t="shared" si="3"/>
        <v>1.087719298245614</v>
      </c>
      <c r="J7">
        <v>87</v>
      </c>
      <c r="K7" s="9">
        <v>13.8</v>
      </c>
      <c r="L7" s="22"/>
      <c r="M7" s="22"/>
      <c r="P7">
        <v>1140</v>
      </c>
      <c r="Q7" t="s">
        <v>25</v>
      </c>
    </row>
    <row r="8" spans="1:17" ht="12.75">
      <c r="A8" t="s">
        <v>8</v>
      </c>
      <c r="B8" s="7"/>
      <c r="C8" s="1" t="s">
        <v>26</v>
      </c>
      <c r="D8">
        <v>180</v>
      </c>
      <c r="E8">
        <v>1090</v>
      </c>
      <c r="F8" s="5">
        <f t="shared" si="0"/>
        <v>474.7793699689596</v>
      </c>
      <c r="G8" s="5">
        <f t="shared" si="1"/>
        <v>196.2</v>
      </c>
      <c r="H8" s="9">
        <f t="shared" si="2"/>
        <v>10.0062</v>
      </c>
      <c r="I8" s="40">
        <f t="shared" si="3"/>
        <v>0.956140350877193</v>
      </c>
      <c r="K8" s="9"/>
      <c r="L8" s="22"/>
      <c r="M8" s="22"/>
      <c r="O8" t="s">
        <v>20</v>
      </c>
      <c r="P8">
        <f>1*0.00006479891/14.5939</f>
        <v>4.440136632428617E-06</v>
      </c>
      <c r="Q8" t="s">
        <v>28</v>
      </c>
    </row>
    <row r="9" spans="1:15" ht="12.75">
      <c r="A9" t="s">
        <v>44</v>
      </c>
      <c r="C9" s="1" t="s">
        <v>231</v>
      </c>
      <c r="D9">
        <v>110</v>
      </c>
      <c r="E9">
        <v>1295</v>
      </c>
      <c r="F9" s="5">
        <f t="shared" si="0"/>
        <v>409.54210747992306</v>
      </c>
      <c r="G9" s="5">
        <f t="shared" si="1"/>
        <v>142.45</v>
      </c>
      <c r="H9" s="9">
        <f t="shared" si="2"/>
        <v>7.264949999999999</v>
      </c>
      <c r="I9" s="40">
        <f t="shared" si="3"/>
        <v>1.1359649122807018</v>
      </c>
      <c r="J9">
        <v>89</v>
      </c>
      <c r="K9" s="9">
        <v>11.2</v>
      </c>
      <c r="L9" s="22"/>
      <c r="M9" s="22"/>
      <c r="O9" t="s">
        <v>258</v>
      </c>
    </row>
    <row r="10" spans="1:13" ht="12.75">
      <c r="A10" t="s">
        <v>44</v>
      </c>
      <c r="B10" s="7"/>
      <c r="C10" s="1" t="s">
        <v>231</v>
      </c>
      <c r="D10">
        <v>125</v>
      </c>
      <c r="E10">
        <v>1450</v>
      </c>
      <c r="F10" s="5">
        <f t="shared" si="0"/>
        <v>583.4617043550729</v>
      </c>
      <c r="G10" s="5">
        <f t="shared" si="1"/>
        <v>181.25</v>
      </c>
      <c r="H10" s="9">
        <f t="shared" si="2"/>
        <v>9.24375</v>
      </c>
      <c r="I10" s="40">
        <f t="shared" si="3"/>
        <v>1.2719298245614035</v>
      </c>
      <c r="J10">
        <v>96</v>
      </c>
      <c r="K10" s="9">
        <v>12.3</v>
      </c>
      <c r="L10" s="22"/>
      <c r="M10" s="22"/>
    </row>
    <row r="11" spans="1:13" ht="12.75">
      <c r="A11" t="s">
        <v>44</v>
      </c>
      <c r="B11" s="2"/>
      <c r="C11" s="1" t="s">
        <v>50</v>
      </c>
      <c r="D11">
        <v>125</v>
      </c>
      <c r="E11">
        <v>1220</v>
      </c>
      <c r="F11" s="5">
        <f t="shared" si="0"/>
        <v>413.04371023167215</v>
      </c>
      <c r="G11" s="5">
        <f t="shared" si="1"/>
        <v>152.5</v>
      </c>
      <c r="H11" s="9">
        <f t="shared" si="2"/>
        <v>7.7775</v>
      </c>
      <c r="I11" s="40">
        <f t="shared" si="3"/>
        <v>1.0701754385964912</v>
      </c>
      <c r="K11" s="9"/>
      <c r="L11" s="22"/>
      <c r="M11" s="22"/>
    </row>
    <row r="12" spans="1:13" ht="12.75">
      <c r="A12" t="s">
        <v>44</v>
      </c>
      <c r="B12" s="2"/>
      <c r="C12" s="1" t="s">
        <v>272</v>
      </c>
      <c r="D12">
        <v>125</v>
      </c>
      <c r="E12">
        <v>1450</v>
      </c>
      <c r="F12" s="5">
        <f t="shared" si="0"/>
        <v>583.4617043550729</v>
      </c>
      <c r="G12" s="5">
        <f t="shared" si="1"/>
        <v>181.25</v>
      </c>
      <c r="H12" s="9">
        <f t="shared" si="2"/>
        <v>9.24375</v>
      </c>
      <c r="I12" s="40">
        <f t="shared" si="3"/>
        <v>1.2719298245614035</v>
      </c>
      <c r="K12" s="9"/>
      <c r="L12" s="22"/>
      <c r="M12" s="22"/>
    </row>
    <row r="13" spans="1:13" ht="12.75">
      <c r="A13" t="s">
        <v>44</v>
      </c>
      <c r="B13" s="2"/>
      <c r="C13" s="1" t="s">
        <v>221</v>
      </c>
      <c r="D13">
        <v>125</v>
      </c>
      <c r="E13">
        <v>1450</v>
      </c>
      <c r="F13" s="5">
        <f t="shared" si="0"/>
        <v>583.4617043550729</v>
      </c>
      <c r="G13" s="5">
        <f t="shared" si="1"/>
        <v>181.25</v>
      </c>
      <c r="H13" s="9">
        <f t="shared" si="2"/>
        <v>9.24375</v>
      </c>
      <c r="I13" s="40">
        <f t="shared" si="3"/>
        <v>1.2719298245614035</v>
      </c>
      <c r="K13" s="9"/>
      <c r="L13" s="22"/>
      <c r="M13" s="22"/>
    </row>
    <row r="14" spans="1:13" ht="12.75">
      <c r="A14" t="s">
        <v>44</v>
      </c>
      <c r="B14" s="2"/>
      <c r="C14" s="1" t="s">
        <v>231</v>
      </c>
      <c r="D14">
        <v>158</v>
      </c>
      <c r="E14">
        <v>1235</v>
      </c>
      <c r="F14" s="5">
        <f t="shared" si="0"/>
        <v>535.0043842204791</v>
      </c>
      <c r="G14" s="5">
        <f t="shared" si="1"/>
        <v>195.13</v>
      </c>
      <c r="H14" s="9">
        <f t="shared" si="2"/>
        <v>9.95163</v>
      </c>
      <c r="I14" s="40">
        <f t="shared" si="3"/>
        <v>1.0833333333333333</v>
      </c>
      <c r="J14">
        <v>82</v>
      </c>
      <c r="K14" s="9">
        <v>14.7</v>
      </c>
      <c r="L14" s="22"/>
      <c r="M14" s="22"/>
    </row>
    <row r="15" spans="1:13" ht="12.75">
      <c r="A15" t="s">
        <v>44</v>
      </c>
      <c r="B15" s="2"/>
      <c r="C15" s="1" t="s">
        <v>232</v>
      </c>
      <c r="D15">
        <v>158</v>
      </c>
      <c r="E15">
        <v>1235</v>
      </c>
      <c r="F15" s="5">
        <f t="shared" si="0"/>
        <v>535.0043842204791</v>
      </c>
      <c r="G15" s="5">
        <f t="shared" si="1"/>
        <v>195.13</v>
      </c>
      <c r="H15" s="9">
        <f t="shared" si="2"/>
        <v>9.95163</v>
      </c>
      <c r="I15" s="40">
        <f t="shared" si="3"/>
        <v>1.0833333333333333</v>
      </c>
      <c r="K15" s="9"/>
      <c r="L15" s="22"/>
      <c r="M15" s="22"/>
    </row>
    <row r="16" spans="1:13" ht="12.75">
      <c r="A16" t="s">
        <v>44</v>
      </c>
      <c r="B16" s="2"/>
      <c r="C16" s="1" t="s">
        <v>273</v>
      </c>
      <c r="D16">
        <v>158</v>
      </c>
      <c r="E16">
        <v>1235</v>
      </c>
      <c r="F16" s="5">
        <f t="shared" si="0"/>
        <v>535.0043842204791</v>
      </c>
      <c r="G16" s="5">
        <f t="shared" si="1"/>
        <v>195.13</v>
      </c>
      <c r="H16" s="9">
        <f t="shared" si="2"/>
        <v>9.95163</v>
      </c>
      <c r="I16" s="40">
        <f t="shared" si="3"/>
        <v>1.0833333333333333</v>
      </c>
      <c r="K16" s="9"/>
      <c r="L16" s="22"/>
      <c r="M16" s="22"/>
    </row>
    <row r="17" spans="1:13" ht="12.75">
      <c r="A17" t="s">
        <v>27</v>
      </c>
      <c r="B17" s="2"/>
      <c r="C17" s="1" t="s">
        <v>18</v>
      </c>
      <c r="D17">
        <v>110</v>
      </c>
      <c r="E17">
        <v>1295</v>
      </c>
      <c r="F17" s="5">
        <f t="shared" si="0"/>
        <v>409.54210747992306</v>
      </c>
      <c r="G17" s="5">
        <f t="shared" si="1"/>
        <v>142.45</v>
      </c>
      <c r="H17" s="9">
        <f t="shared" si="2"/>
        <v>7.264949999999999</v>
      </c>
      <c r="I17" s="40">
        <f t="shared" si="3"/>
        <v>1.1359649122807018</v>
      </c>
      <c r="K17" s="9"/>
      <c r="L17" s="22"/>
      <c r="M17" s="22"/>
    </row>
    <row r="18" spans="1:13" ht="12.75">
      <c r="A18" t="s">
        <v>27</v>
      </c>
      <c r="B18" s="2"/>
      <c r="C18" s="1" t="s">
        <v>18</v>
      </c>
      <c r="D18">
        <v>125</v>
      </c>
      <c r="E18">
        <v>1450</v>
      </c>
      <c r="F18" s="5">
        <f t="shared" si="0"/>
        <v>583.4617043550729</v>
      </c>
      <c r="G18" s="5">
        <f t="shared" si="1"/>
        <v>181.25</v>
      </c>
      <c r="H18" s="9">
        <f t="shared" si="2"/>
        <v>9.24375</v>
      </c>
      <c r="I18" s="40">
        <f t="shared" si="3"/>
        <v>1.2719298245614035</v>
      </c>
      <c r="J18">
        <v>87</v>
      </c>
      <c r="K18" s="9">
        <v>10.4</v>
      </c>
      <c r="L18" s="22"/>
      <c r="M18" s="22"/>
    </row>
    <row r="19" spans="1:13" ht="12.75">
      <c r="A19" t="s">
        <v>27</v>
      </c>
      <c r="B19" s="2"/>
      <c r="C19" s="1" t="s">
        <v>18</v>
      </c>
      <c r="D19">
        <v>158</v>
      </c>
      <c r="E19">
        <v>1235</v>
      </c>
      <c r="F19" s="5">
        <f t="shared" si="0"/>
        <v>535.0043842204791</v>
      </c>
      <c r="G19" s="5">
        <f t="shared" si="1"/>
        <v>195.13</v>
      </c>
      <c r="H19" s="9">
        <f t="shared" si="2"/>
        <v>9.95163</v>
      </c>
      <c r="I19" s="40">
        <f t="shared" si="3"/>
        <v>1.0833333333333333</v>
      </c>
      <c r="K19" s="9"/>
      <c r="L19" s="22"/>
      <c r="M19" s="22"/>
    </row>
    <row r="20" spans="1:13" ht="12.75">
      <c r="A20" t="s">
        <v>27</v>
      </c>
      <c r="B20" s="2"/>
      <c r="C20" s="1" t="s">
        <v>293</v>
      </c>
      <c r="D20">
        <v>180</v>
      </c>
      <c r="E20">
        <v>1180</v>
      </c>
      <c r="F20" s="5">
        <f t="shared" si="0"/>
        <v>556.4201622294246</v>
      </c>
      <c r="G20" s="5">
        <f t="shared" si="1"/>
        <v>212.4</v>
      </c>
      <c r="H20" s="9">
        <f t="shared" si="2"/>
        <v>10.832399999999998</v>
      </c>
      <c r="I20" s="40">
        <f t="shared" si="3"/>
        <v>1.0350877192982457</v>
      </c>
      <c r="K20" s="9"/>
      <c r="L20" s="22"/>
      <c r="M20" s="22"/>
    </row>
    <row r="21" spans="1:13" ht="12.75">
      <c r="A21" t="s">
        <v>27</v>
      </c>
      <c r="B21" s="2"/>
      <c r="C21" s="1" t="s">
        <v>30</v>
      </c>
      <c r="D21">
        <v>145</v>
      </c>
      <c r="E21">
        <v>1290</v>
      </c>
      <c r="F21" s="5">
        <f t="shared" si="0"/>
        <v>535.6902743267735</v>
      </c>
      <c r="G21" s="5">
        <f t="shared" si="1"/>
        <v>187.05</v>
      </c>
      <c r="H21" s="9">
        <f t="shared" si="2"/>
        <v>9.53955</v>
      </c>
      <c r="I21" s="40">
        <f t="shared" si="3"/>
        <v>1.131578947368421</v>
      </c>
      <c r="J21">
        <v>87</v>
      </c>
      <c r="K21" s="9">
        <v>14.2</v>
      </c>
      <c r="L21" s="22"/>
      <c r="M21" s="22"/>
    </row>
    <row r="22" spans="1:13" ht="12.75">
      <c r="A22" t="s">
        <v>38</v>
      </c>
      <c r="B22" s="2"/>
      <c r="C22" s="1" t="s">
        <v>39</v>
      </c>
      <c r="D22">
        <v>125</v>
      </c>
      <c r="E22">
        <v>1450</v>
      </c>
      <c r="F22" s="5">
        <f t="shared" si="0"/>
        <v>583.4617043550729</v>
      </c>
      <c r="G22" s="5">
        <f t="shared" si="1"/>
        <v>181.25</v>
      </c>
      <c r="H22" s="9">
        <f t="shared" si="2"/>
        <v>9.24375</v>
      </c>
      <c r="I22" s="40">
        <f t="shared" si="3"/>
        <v>1.2719298245614035</v>
      </c>
      <c r="J22">
        <v>93</v>
      </c>
      <c r="K22" s="9">
        <v>13.1</v>
      </c>
      <c r="L22" s="22"/>
      <c r="M22" s="22"/>
    </row>
    <row r="23" spans="1:13" ht="12.75">
      <c r="A23" t="s">
        <v>38</v>
      </c>
      <c r="B23" s="2"/>
      <c r="C23" s="1" t="s">
        <v>39</v>
      </c>
      <c r="D23">
        <v>158</v>
      </c>
      <c r="E23">
        <v>1235</v>
      </c>
      <c r="F23" s="5">
        <f t="shared" si="0"/>
        <v>535.0043842204791</v>
      </c>
      <c r="G23" s="5">
        <f t="shared" si="1"/>
        <v>195.13</v>
      </c>
      <c r="H23" s="9">
        <f t="shared" si="2"/>
        <v>9.95163</v>
      </c>
      <c r="I23" s="40">
        <f t="shared" si="3"/>
        <v>1.0833333333333333</v>
      </c>
      <c r="K23" s="9"/>
      <c r="L23" s="22"/>
      <c r="M23" s="22"/>
    </row>
    <row r="24" spans="1:13" ht="12.75">
      <c r="A24" t="s">
        <v>51</v>
      </c>
      <c r="C24" s="1" t="s">
        <v>221</v>
      </c>
      <c r="D24">
        <v>158</v>
      </c>
      <c r="E24">
        <v>1200</v>
      </c>
      <c r="F24" s="5">
        <f t="shared" si="0"/>
        <v>505.1099433050795</v>
      </c>
      <c r="G24" s="5">
        <f t="shared" si="1"/>
        <v>189.6</v>
      </c>
      <c r="H24" s="9">
        <f t="shared" si="2"/>
        <v>9.669599999999999</v>
      </c>
      <c r="I24" s="40">
        <f t="shared" si="3"/>
        <v>1.0526315789473684</v>
      </c>
      <c r="K24" s="9"/>
      <c r="L24" s="22"/>
      <c r="M24" s="22"/>
    </row>
    <row r="25" spans="1:13" ht="12.75">
      <c r="A25" t="s">
        <v>51</v>
      </c>
      <c r="B25" s="10"/>
      <c r="C25" s="11" t="s">
        <v>18</v>
      </c>
      <c r="D25" s="10">
        <v>125</v>
      </c>
      <c r="E25" s="10">
        <v>1450</v>
      </c>
      <c r="F25" s="12">
        <f t="shared" si="0"/>
        <v>583.4617043550729</v>
      </c>
      <c r="G25" s="12">
        <f t="shared" si="1"/>
        <v>181.25</v>
      </c>
      <c r="H25" s="9">
        <f t="shared" si="2"/>
        <v>9.24375</v>
      </c>
      <c r="I25" s="40">
        <f t="shared" si="3"/>
        <v>1.2719298245614035</v>
      </c>
      <c r="J25" s="10"/>
      <c r="K25" s="13"/>
      <c r="L25" s="22"/>
      <c r="M25" s="22"/>
    </row>
    <row r="26" spans="1:13" ht="12.75">
      <c r="A26" t="s">
        <v>51</v>
      </c>
      <c r="B26" s="10"/>
      <c r="C26" s="11" t="s">
        <v>18</v>
      </c>
      <c r="D26" s="10">
        <v>150</v>
      </c>
      <c r="E26" s="10">
        <v>1230</v>
      </c>
      <c r="F26" s="12">
        <f t="shared" si="0"/>
        <v>503.81120334009415</v>
      </c>
      <c r="G26" s="12">
        <f t="shared" si="1"/>
        <v>184.5</v>
      </c>
      <c r="H26" s="9">
        <f t="shared" si="2"/>
        <v>9.4095</v>
      </c>
      <c r="I26" s="40">
        <f t="shared" si="3"/>
        <v>1.0789473684210527</v>
      </c>
      <c r="J26" s="10"/>
      <c r="K26" s="13"/>
      <c r="L26" s="22"/>
      <c r="M26" s="22"/>
    </row>
    <row r="27" spans="1:13" ht="12.75">
      <c r="A27" t="s">
        <v>57</v>
      </c>
      <c r="C27" s="1" t="s">
        <v>60</v>
      </c>
      <c r="D27" s="10">
        <v>125</v>
      </c>
      <c r="E27" s="10">
        <v>1450</v>
      </c>
      <c r="F27" s="5">
        <f t="shared" si="0"/>
        <v>583.4617043550729</v>
      </c>
      <c r="G27" s="5">
        <f t="shared" si="1"/>
        <v>181.25</v>
      </c>
      <c r="H27" s="9">
        <f t="shared" si="2"/>
        <v>9.24375</v>
      </c>
      <c r="I27" s="40">
        <f>E27/$P$7</f>
        <v>1.2719298245614035</v>
      </c>
      <c r="K27" s="9"/>
      <c r="L27" s="22"/>
      <c r="M27" s="22"/>
    </row>
    <row r="28" spans="3:13" ht="12.75">
      <c r="C28" s="1"/>
      <c r="F28" s="5"/>
      <c r="G28" s="5"/>
      <c r="H28" s="9"/>
      <c r="I28" s="5"/>
      <c r="K28" s="9"/>
      <c r="L28" s="22"/>
      <c r="M28" s="22"/>
    </row>
    <row r="29" spans="3:13" ht="12.75">
      <c r="C29" s="1"/>
      <c r="F29" s="5"/>
      <c r="G29" s="5"/>
      <c r="H29" s="9"/>
      <c r="I29" s="5"/>
      <c r="K29" s="9"/>
      <c r="L29" s="22"/>
      <c r="M29" s="22"/>
    </row>
    <row r="30" spans="3:13" ht="12.75">
      <c r="C30" s="1"/>
      <c r="F30" s="5"/>
      <c r="G30" s="5"/>
      <c r="H30" s="9"/>
      <c r="I30" s="5"/>
      <c r="K30" s="9"/>
      <c r="L30" s="22"/>
      <c r="M30" s="22"/>
    </row>
    <row r="31" spans="3:13" ht="12.75">
      <c r="C31" s="1"/>
      <c r="F31" s="5"/>
      <c r="G31" s="5"/>
      <c r="H31" s="9"/>
      <c r="I31" s="5"/>
      <c r="K31" s="9"/>
      <c r="L31" s="22"/>
      <c r="M31" s="22"/>
    </row>
    <row r="32" spans="3:13" ht="12.75">
      <c r="C32" s="1"/>
      <c r="F32" s="5"/>
      <c r="G32" s="5"/>
      <c r="H32" s="9"/>
      <c r="I32" s="5"/>
      <c r="K32" s="9"/>
      <c r="L32" s="22"/>
      <c r="M32" s="2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13.140625" style="0" customWidth="1"/>
    <col min="3" max="3" width="9.140625" style="1" customWidth="1"/>
    <col min="8" max="9" width="9.140625" style="9" customWidth="1"/>
    <col min="11" max="11" width="11.8515625" style="0" customWidth="1"/>
  </cols>
  <sheetData>
    <row r="1" spans="1:15" ht="26.25">
      <c r="A1" s="28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7" ht="24.75" customHeight="1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8" t="s">
        <v>217</v>
      </c>
      <c r="I2" s="8" t="s">
        <v>300</v>
      </c>
      <c r="J2" s="3" t="s">
        <v>5</v>
      </c>
      <c r="K2" s="8" t="s">
        <v>6</v>
      </c>
      <c r="L2" s="23" t="s">
        <v>179</v>
      </c>
      <c r="M2" s="4"/>
      <c r="N2" s="4"/>
      <c r="O2" s="4"/>
      <c r="P2" s="4"/>
      <c r="Q2" s="4"/>
    </row>
    <row r="3" spans="1:14" ht="12.75">
      <c r="A3" s="10" t="s">
        <v>8</v>
      </c>
      <c r="B3" t="s">
        <v>117</v>
      </c>
      <c r="C3" s="11" t="s">
        <v>18</v>
      </c>
      <c r="D3" s="10">
        <v>125</v>
      </c>
      <c r="E3" s="10">
        <v>1350</v>
      </c>
      <c r="F3" s="12">
        <f>0.5*D3*$O$8*E3*E3</f>
        <v>505.7593132875722</v>
      </c>
      <c r="G3" s="12">
        <f>D3*E3/1000</f>
        <v>168.75</v>
      </c>
      <c r="H3" s="13">
        <f>0.357*D3*E3/7000</f>
        <v>8.60625</v>
      </c>
      <c r="I3" s="40">
        <f>E3/$O$7</f>
        <v>1.1842105263157894</v>
      </c>
      <c r="J3" s="10">
        <v>92</v>
      </c>
      <c r="K3" s="13">
        <v>12.3</v>
      </c>
      <c r="N3" t="s">
        <v>19</v>
      </c>
    </row>
    <row r="4" spans="1:16" ht="12.75">
      <c r="A4" s="10" t="s">
        <v>44</v>
      </c>
      <c r="B4" t="s">
        <v>118</v>
      </c>
      <c r="C4" s="11" t="s">
        <v>18</v>
      </c>
      <c r="D4" s="10">
        <v>125</v>
      </c>
      <c r="E4" s="10">
        <v>1350</v>
      </c>
      <c r="F4" s="12">
        <f aca="true" t="shared" si="0" ref="F4:F16">0.5*D4*$O$8*E4*E4</f>
        <v>505.7593132875722</v>
      </c>
      <c r="G4" s="12">
        <f aca="true" t="shared" si="1" ref="G4:G16">D4*E4/1000</f>
        <v>168.75</v>
      </c>
      <c r="H4" s="13">
        <f aca="true" t="shared" si="2" ref="H4:H16">0.357*D4*E4/7000</f>
        <v>8.60625</v>
      </c>
      <c r="I4" s="40">
        <f aca="true" t="shared" si="3" ref="I4:I16">E4/$O$7</f>
        <v>1.1842105263157894</v>
      </c>
      <c r="J4" s="10">
        <v>89</v>
      </c>
      <c r="K4" s="13">
        <v>13.2</v>
      </c>
      <c r="N4" t="s">
        <v>20</v>
      </c>
      <c r="O4">
        <v>0.0647989</v>
      </c>
      <c r="P4" t="s">
        <v>21</v>
      </c>
    </row>
    <row r="5" spans="1:16" ht="12.75">
      <c r="A5" s="10" t="s">
        <v>44</v>
      </c>
      <c r="B5" t="s">
        <v>119</v>
      </c>
      <c r="C5" s="11" t="s">
        <v>18</v>
      </c>
      <c r="D5" s="10">
        <v>125</v>
      </c>
      <c r="E5" s="10">
        <v>1350</v>
      </c>
      <c r="F5" s="12">
        <f t="shared" si="0"/>
        <v>505.7593132875722</v>
      </c>
      <c r="G5" s="12">
        <f t="shared" si="1"/>
        <v>168.75</v>
      </c>
      <c r="H5" s="13">
        <f t="shared" si="2"/>
        <v>8.60625</v>
      </c>
      <c r="I5" s="40">
        <f t="shared" si="3"/>
        <v>1.1842105263157894</v>
      </c>
      <c r="J5" s="10"/>
      <c r="K5" s="13"/>
      <c r="N5" t="s">
        <v>22</v>
      </c>
      <c r="O5">
        <v>0.3048</v>
      </c>
      <c r="P5" t="s">
        <v>23</v>
      </c>
    </row>
    <row r="6" spans="1:16" ht="12.75">
      <c r="A6" s="10" t="s">
        <v>27</v>
      </c>
      <c r="B6" t="s">
        <v>120</v>
      </c>
      <c r="C6" s="11" t="s">
        <v>26</v>
      </c>
      <c r="D6" s="10">
        <v>125</v>
      </c>
      <c r="E6" s="10">
        <v>1350</v>
      </c>
      <c r="F6" s="12">
        <f t="shared" si="0"/>
        <v>505.7593132875722</v>
      </c>
      <c r="G6" s="12">
        <f t="shared" si="1"/>
        <v>168.75</v>
      </c>
      <c r="H6" s="13">
        <f t="shared" si="2"/>
        <v>8.60625</v>
      </c>
      <c r="I6" s="40">
        <f t="shared" si="3"/>
        <v>1.1842105263157894</v>
      </c>
      <c r="J6" s="10"/>
      <c r="K6" s="13"/>
      <c r="N6" t="s">
        <v>24</v>
      </c>
      <c r="O6">
        <v>340</v>
      </c>
      <c r="P6" t="s">
        <v>23</v>
      </c>
    </row>
    <row r="7" spans="1:16" ht="12.75">
      <c r="A7" s="10" t="s">
        <v>27</v>
      </c>
      <c r="B7" t="s">
        <v>121</v>
      </c>
      <c r="C7" s="11" t="s">
        <v>18</v>
      </c>
      <c r="D7" s="10">
        <v>125</v>
      </c>
      <c r="E7" s="10">
        <v>1350</v>
      </c>
      <c r="F7" s="12">
        <f t="shared" si="0"/>
        <v>505.7593132875722</v>
      </c>
      <c r="G7" s="12">
        <f t="shared" si="1"/>
        <v>168.75</v>
      </c>
      <c r="H7" s="13">
        <f t="shared" si="2"/>
        <v>8.60625</v>
      </c>
      <c r="I7" s="40">
        <f t="shared" si="3"/>
        <v>1.1842105263157894</v>
      </c>
      <c r="J7" s="10">
        <v>90</v>
      </c>
      <c r="K7" s="13">
        <v>12.8</v>
      </c>
      <c r="O7">
        <v>1140</v>
      </c>
      <c r="P7" t="s">
        <v>25</v>
      </c>
    </row>
    <row r="8" spans="1:16" ht="12.75">
      <c r="A8" s="10" t="s">
        <v>38</v>
      </c>
      <c r="B8" s="2">
        <v>23918</v>
      </c>
      <c r="C8" s="11" t="s">
        <v>39</v>
      </c>
      <c r="D8" s="10">
        <v>125</v>
      </c>
      <c r="E8" s="10">
        <v>1375</v>
      </c>
      <c r="F8" s="12">
        <f t="shared" si="0"/>
        <v>524.6645825428346</v>
      </c>
      <c r="G8" s="12">
        <f t="shared" si="1"/>
        <v>171.875</v>
      </c>
      <c r="H8" s="13">
        <f t="shared" si="2"/>
        <v>8.765625</v>
      </c>
      <c r="I8" s="40">
        <f t="shared" si="3"/>
        <v>1.206140350877193</v>
      </c>
      <c r="J8" s="10">
        <v>91</v>
      </c>
      <c r="K8" s="13">
        <v>12.6</v>
      </c>
      <c r="N8" t="s">
        <v>20</v>
      </c>
      <c r="O8">
        <f>1*0.00006479891/14.5939</f>
        <v>4.440136632428617E-06</v>
      </c>
      <c r="P8" t="s">
        <v>28</v>
      </c>
    </row>
    <row r="9" spans="1:11" ht="12.75">
      <c r="A9" s="10" t="s">
        <v>40</v>
      </c>
      <c r="B9" s="17" t="s">
        <v>122</v>
      </c>
      <c r="C9" s="11" t="s">
        <v>18</v>
      </c>
      <c r="D9" s="10">
        <v>115</v>
      </c>
      <c r="E9" s="10">
        <v>1500</v>
      </c>
      <c r="F9" s="12">
        <f t="shared" si="0"/>
        <v>574.4426768204524</v>
      </c>
      <c r="G9" s="12">
        <f t="shared" si="1"/>
        <v>172.5</v>
      </c>
      <c r="H9" s="13">
        <f t="shared" si="2"/>
        <v>8.7975</v>
      </c>
      <c r="I9" s="40">
        <f t="shared" si="3"/>
        <v>1.3157894736842106</v>
      </c>
      <c r="J9" s="10"/>
      <c r="K9" s="13"/>
    </row>
    <row r="10" spans="1:11" ht="12.75">
      <c r="A10" s="10" t="s">
        <v>40</v>
      </c>
      <c r="B10" s="18" t="s">
        <v>123</v>
      </c>
      <c r="C10" s="11" t="s">
        <v>18</v>
      </c>
      <c r="D10" s="10">
        <v>125</v>
      </c>
      <c r="E10" s="10">
        <v>1425</v>
      </c>
      <c r="F10" s="12">
        <f t="shared" si="0"/>
        <v>563.5157780765851</v>
      </c>
      <c r="G10" s="12">
        <f t="shared" si="1"/>
        <v>178.125</v>
      </c>
      <c r="H10" s="13">
        <f t="shared" si="2"/>
        <v>9.084375</v>
      </c>
      <c r="I10" s="40">
        <f t="shared" si="3"/>
        <v>1.25</v>
      </c>
      <c r="J10" s="10"/>
      <c r="K10" s="13"/>
    </row>
    <row r="11" spans="1:11" ht="12.75">
      <c r="A11" s="10" t="s">
        <v>51</v>
      </c>
      <c r="B11" t="s">
        <v>124</v>
      </c>
      <c r="C11" s="11" t="s">
        <v>56</v>
      </c>
      <c r="D11" s="10">
        <v>124</v>
      </c>
      <c r="E11" s="10">
        <v>1350</v>
      </c>
      <c r="F11" s="12">
        <f t="shared" si="0"/>
        <v>501.71323878127157</v>
      </c>
      <c r="G11" s="12">
        <f t="shared" si="1"/>
        <v>167.4</v>
      </c>
      <c r="H11" s="13">
        <f t="shared" si="2"/>
        <v>8.5374</v>
      </c>
      <c r="I11" s="40">
        <f t="shared" si="3"/>
        <v>1.1842105263157894</v>
      </c>
      <c r="J11" s="10"/>
      <c r="K11" s="13"/>
    </row>
    <row r="12" spans="1:11" ht="12.75">
      <c r="A12" s="10" t="s">
        <v>57</v>
      </c>
      <c r="B12" t="s">
        <v>125</v>
      </c>
      <c r="C12" s="11" t="s">
        <v>60</v>
      </c>
      <c r="D12" s="10">
        <v>115</v>
      </c>
      <c r="E12" s="10">
        <v>1425</v>
      </c>
      <c r="F12" s="12">
        <f t="shared" si="0"/>
        <v>518.4345158304583</v>
      </c>
      <c r="G12" s="12">
        <f t="shared" si="1"/>
        <v>163.875</v>
      </c>
      <c r="H12" s="13">
        <f t="shared" si="2"/>
        <v>8.357625</v>
      </c>
      <c r="I12" s="40">
        <f t="shared" si="3"/>
        <v>1.25</v>
      </c>
      <c r="J12" s="10"/>
      <c r="K12" s="13"/>
    </row>
    <row r="13" spans="1:11" ht="12.75">
      <c r="A13" s="10" t="s">
        <v>57</v>
      </c>
      <c r="B13" t="s">
        <v>126</v>
      </c>
      <c r="C13" s="11" t="s">
        <v>60</v>
      </c>
      <c r="D13" s="10">
        <v>135</v>
      </c>
      <c r="E13" s="10">
        <v>0</v>
      </c>
      <c r="F13" s="12">
        <f t="shared" si="0"/>
        <v>0</v>
      </c>
      <c r="G13" s="12">
        <f t="shared" si="1"/>
        <v>0</v>
      </c>
      <c r="H13" s="13">
        <f t="shared" si="2"/>
        <v>0</v>
      </c>
      <c r="I13" s="40">
        <f t="shared" si="3"/>
        <v>0</v>
      </c>
      <c r="J13" s="10"/>
      <c r="K13" s="13"/>
    </row>
    <row r="14" spans="1:11" ht="12.75">
      <c r="A14" s="10" t="s">
        <v>162</v>
      </c>
      <c r="B14" s="18"/>
      <c r="C14" s="11" t="s">
        <v>163</v>
      </c>
      <c r="D14" s="10">
        <v>60</v>
      </c>
      <c r="E14" s="10">
        <v>2410</v>
      </c>
      <c r="F14" s="12">
        <f t="shared" si="0"/>
        <v>773.6627272442595</v>
      </c>
      <c r="G14" s="12">
        <f t="shared" si="1"/>
        <v>144.6</v>
      </c>
      <c r="H14" s="13">
        <f t="shared" si="2"/>
        <v>7.374599999999999</v>
      </c>
      <c r="I14" s="40">
        <f t="shared" si="3"/>
        <v>2.1140350877192984</v>
      </c>
      <c r="J14" s="10">
        <v>95</v>
      </c>
      <c r="K14" s="13">
        <v>7.5</v>
      </c>
    </row>
    <row r="15" spans="1:12" ht="12.75">
      <c r="A15" s="10" t="s">
        <v>181</v>
      </c>
      <c r="B15" s="18">
        <v>9130</v>
      </c>
      <c r="C15" s="11" t="s">
        <v>182</v>
      </c>
      <c r="D15" s="10">
        <v>124</v>
      </c>
      <c r="E15" s="10">
        <v>1350</v>
      </c>
      <c r="F15" s="12">
        <f t="shared" si="0"/>
        <v>501.71323878127157</v>
      </c>
      <c r="G15" s="12">
        <f t="shared" si="1"/>
        <v>167.4</v>
      </c>
      <c r="H15" s="13">
        <f t="shared" si="2"/>
        <v>8.5374</v>
      </c>
      <c r="I15" s="40">
        <f t="shared" si="3"/>
        <v>1.1842105263157894</v>
      </c>
      <c r="J15" s="10"/>
      <c r="K15" s="13"/>
      <c r="L15">
        <f>15.34/20</f>
        <v>0.767</v>
      </c>
    </row>
    <row r="16" spans="1:12" ht="12.75">
      <c r="A16" s="10" t="s">
        <v>181</v>
      </c>
      <c r="B16" s="18">
        <v>9131</v>
      </c>
      <c r="C16" s="11" t="s">
        <v>182</v>
      </c>
      <c r="D16" s="10">
        <v>147</v>
      </c>
      <c r="E16" s="10">
        <v>1225</v>
      </c>
      <c r="F16" s="12">
        <f t="shared" si="0"/>
        <v>489.72903250180724</v>
      </c>
      <c r="G16" s="12">
        <f t="shared" si="1"/>
        <v>180.075</v>
      </c>
      <c r="H16" s="13">
        <f t="shared" si="2"/>
        <v>9.183825</v>
      </c>
      <c r="I16" s="40">
        <f t="shared" si="3"/>
        <v>1.0745614035087718</v>
      </c>
      <c r="J16" s="10"/>
      <c r="K16" s="13"/>
      <c r="L16">
        <f>15.34/20</f>
        <v>0.767</v>
      </c>
    </row>
    <row r="17" spans="1:11" ht="12.75">
      <c r="A17" s="10"/>
      <c r="B17" s="18"/>
      <c r="C17" s="11"/>
      <c r="D17" s="10"/>
      <c r="E17" s="10"/>
      <c r="F17" s="12"/>
      <c r="G17" s="12"/>
      <c r="H17" s="13"/>
      <c r="I17" s="13"/>
      <c r="J17" s="10"/>
      <c r="K17" s="13"/>
    </row>
    <row r="18" spans="1:11" ht="12.75">
      <c r="A18" s="10"/>
      <c r="B18" s="18"/>
      <c r="C18" s="11"/>
      <c r="D18" s="10"/>
      <c r="E18" s="10"/>
      <c r="F18" s="12"/>
      <c r="G18" s="12"/>
      <c r="H18" s="13"/>
      <c r="I18" s="13"/>
      <c r="J18" s="10"/>
      <c r="K18" s="13"/>
    </row>
    <row r="19" spans="1:11" ht="12.75">
      <c r="A19" s="10"/>
      <c r="B19" s="18"/>
      <c r="C19" s="11"/>
      <c r="D19" s="10"/>
      <c r="E19" s="10"/>
      <c r="F19" s="12"/>
      <c r="G19" s="12"/>
      <c r="H19" s="13"/>
      <c r="I19" s="13"/>
      <c r="J19" s="10"/>
      <c r="K19" s="13"/>
    </row>
    <row r="20" spans="1:11" ht="12.75">
      <c r="A20" s="10"/>
      <c r="B20" s="18"/>
      <c r="C20" s="11"/>
      <c r="D20" s="10"/>
      <c r="E20" s="10"/>
      <c r="F20" s="12"/>
      <c r="G20" s="12"/>
      <c r="H20" s="13"/>
      <c r="I20" s="13"/>
      <c r="J20" s="10"/>
      <c r="K20" s="13"/>
    </row>
    <row r="21" spans="1:11" ht="12.75">
      <c r="A21" s="10"/>
      <c r="B21" s="18"/>
      <c r="C21" s="11"/>
      <c r="D21" s="10"/>
      <c r="E21" s="10"/>
      <c r="F21" s="12"/>
      <c r="G21" s="12"/>
      <c r="H21" s="13"/>
      <c r="I21" s="13"/>
      <c r="J21" s="10"/>
      <c r="K21" s="13"/>
    </row>
    <row r="22" spans="1:11" ht="12.75">
      <c r="A22" s="10"/>
      <c r="B22" s="10"/>
      <c r="C22" s="11"/>
      <c r="D22" s="10"/>
      <c r="E22" s="10"/>
      <c r="F22" s="12"/>
      <c r="G22" s="12"/>
      <c r="H22" s="13"/>
      <c r="I22" s="13"/>
      <c r="J22" s="10"/>
      <c r="K22" s="13"/>
    </row>
    <row r="23" spans="1:11" ht="12.75">
      <c r="A23" s="10"/>
      <c r="B23" s="10"/>
      <c r="C23" s="11"/>
      <c r="D23" s="10"/>
      <c r="E23" s="10"/>
      <c r="F23" s="12"/>
      <c r="G23" s="12"/>
      <c r="H23" s="13"/>
      <c r="I23" s="13"/>
      <c r="J23" s="10"/>
      <c r="K23" s="13"/>
    </row>
    <row r="24" spans="1:11" ht="12.75">
      <c r="A24" s="10"/>
      <c r="B24" s="10"/>
      <c r="C24" s="11"/>
      <c r="D24" s="10"/>
      <c r="E24" s="10"/>
      <c r="F24" s="12"/>
      <c r="G24" s="12"/>
      <c r="H24" s="13"/>
      <c r="I24" s="13"/>
      <c r="J24" s="10"/>
      <c r="K24" s="13"/>
    </row>
    <row r="25" spans="1:11" ht="12.75">
      <c r="A25" s="10"/>
      <c r="B25" s="10"/>
      <c r="C25" s="11"/>
      <c r="D25" s="10"/>
      <c r="E25" s="10"/>
      <c r="F25" s="12"/>
      <c r="G25" s="12"/>
      <c r="H25" s="13"/>
      <c r="I25" s="13"/>
      <c r="J25" s="10"/>
      <c r="K25" s="13"/>
    </row>
    <row r="26" spans="1:11" ht="12.75">
      <c r="A26" s="10"/>
      <c r="B26" s="10"/>
      <c r="C26" s="11"/>
      <c r="D26" s="10"/>
      <c r="E26" s="10"/>
      <c r="F26" s="12"/>
      <c r="G26" s="12"/>
      <c r="H26" s="13"/>
      <c r="I26" s="13"/>
      <c r="J26" s="10"/>
      <c r="K26" s="13"/>
    </row>
    <row r="27" spans="1:11" ht="12.75">
      <c r="A27" s="10"/>
      <c r="B27" s="10"/>
      <c r="C27" s="11"/>
      <c r="D27" s="10"/>
      <c r="E27" s="10"/>
      <c r="F27" s="12"/>
      <c r="G27" s="12"/>
      <c r="H27" s="13"/>
      <c r="I27" s="13"/>
      <c r="J27" s="10"/>
      <c r="K27" s="13"/>
    </row>
    <row r="28" spans="1:11" ht="12.75">
      <c r="A28" s="10"/>
      <c r="B28" s="10"/>
      <c r="C28" s="11"/>
      <c r="D28" s="10"/>
      <c r="E28" s="10"/>
      <c r="F28" s="12"/>
      <c r="G28" s="12"/>
      <c r="H28" s="13"/>
      <c r="I28" s="13"/>
      <c r="J28" s="10"/>
      <c r="K28" s="13"/>
    </row>
    <row r="29" spans="1:11" ht="12.75">
      <c r="A29" s="10"/>
      <c r="B29" s="10"/>
      <c r="C29" s="11"/>
      <c r="D29" s="10"/>
      <c r="E29" s="10"/>
      <c r="F29" s="12"/>
      <c r="G29" s="12"/>
      <c r="H29" s="13"/>
      <c r="I29" s="13"/>
      <c r="J29" s="10"/>
      <c r="K29" s="13"/>
    </row>
    <row r="30" spans="1:11" ht="12.75">
      <c r="A30" s="10"/>
      <c r="B30" s="10"/>
      <c r="C30" s="11"/>
      <c r="D30" s="10"/>
      <c r="E30" s="10"/>
      <c r="F30" s="12"/>
      <c r="G30" s="12"/>
      <c r="H30" s="13"/>
      <c r="I30" s="13"/>
      <c r="J30" s="10"/>
      <c r="K30" s="13"/>
    </row>
    <row r="31" spans="1:11" ht="12.75">
      <c r="A31" s="10"/>
      <c r="B31" s="10"/>
      <c r="C31" s="11"/>
      <c r="D31" s="10"/>
      <c r="E31" s="10"/>
      <c r="F31" s="12"/>
      <c r="G31" s="12"/>
      <c r="H31" s="13"/>
      <c r="I31" s="13"/>
      <c r="J31" s="10"/>
      <c r="K31" s="13"/>
    </row>
    <row r="32" spans="1:11" ht="12.75">
      <c r="A32" s="10"/>
      <c r="B32" s="10"/>
      <c r="C32" s="11"/>
      <c r="D32" s="10"/>
      <c r="E32" s="10"/>
      <c r="F32" s="12"/>
      <c r="G32" s="12"/>
      <c r="H32" s="13"/>
      <c r="I32" s="13"/>
      <c r="J32" s="10"/>
      <c r="K32" s="13"/>
    </row>
    <row r="33" spans="1:11" ht="12.75">
      <c r="A33" s="10"/>
      <c r="B33" s="10"/>
      <c r="C33" s="11"/>
      <c r="D33" s="10"/>
      <c r="E33" s="10"/>
      <c r="F33" s="12"/>
      <c r="G33" s="12"/>
      <c r="H33" s="13"/>
      <c r="I33" s="13"/>
      <c r="J33" s="10"/>
      <c r="K33" s="13"/>
    </row>
    <row r="34" spans="1:11" ht="12.75">
      <c r="A34" s="10"/>
      <c r="B34" s="10"/>
      <c r="C34" s="11"/>
      <c r="D34" s="10"/>
      <c r="E34" s="10"/>
      <c r="F34" s="12"/>
      <c r="G34" s="12"/>
      <c r="H34" s="13"/>
      <c r="I34" s="13"/>
      <c r="J34" s="10"/>
      <c r="K34" s="13"/>
    </row>
    <row r="35" spans="1:11" ht="12.75">
      <c r="A35" s="10"/>
      <c r="B35" s="10"/>
      <c r="C35" s="11"/>
      <c r="D35" s="10"/>
      <c r="E35" s="10"/>
      <c r="F35" s="12"/>
      <c r="G35" s="12"/>
      <c r="H35" s="13"/>
      <c r="I35" s="13"/>
      <c r="J35" s="10"/>
      <c r="K35" s="13"/>
    </row>
    <row r="36" spans="1:11" ht="12.75">
      <c r="A36" s="10"/>
      <c r="B36" s="10"/>
      <c r="C36" s="11"/>
      <c r="D36" s="10"/>
      <c r="E36" s="10"/>
      <c r="F36" s="12"/>
      <c r="G36" s="12"/>
      <c r="H36" s="13"/>
      <c r="I36" s="13"/>
      <c r="J36" s="14"/>
      <c r="K36" s="15"/>
    </row>
    <row r="37" spans="6:11" ht="12.75">
      <c r="F37" s="5"/>
      <c r="G37" s="5"/>
      <c r="K37" s="9"/>
    </row>
    <row r="38" spans="6:11" ht="12.75">
      <c r="F38" s="5"/>
      <c r="G38" s="5"/>
      <c r="K38" s="9"/>
    </row>
    <row r="39" spans="6:11" ht="12.75">
      <c r="F39" s="5"/>
      <c r="G39" s="5"/>
      <c r="K39" s="9"/>
    </row>
    <row r="40" spans="6:11" ht="12.75">
      <c r="F40" s="5"/>
      <c r="G40" s="5"/>
      <c r="K40" s="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F7" sqref="F7"/>
    </sheetView>
  </sheetViews>
  <sheetFormatPr defaultColWidth="9.140625" defaultRowHeight="12.75"/>
  <cols>
    <col min="1" max="2" width="11.7109375" style="0" customWidth="1"/>
    <col min="3" max="3" width="12.7109375" style="0" customWidth="1"/>
    <col min="4" max="5" width="8.7109375" style="0" customWidth="1"/>
    <col min="6" max="7" width="8.7109375" style="5" customWidth="1"/>
    <col min="8" max="8" width="5.7109375" style="9" customWidth="1"/>
    <col min="9" max="9" width="5.7109375" style="5" customWidth="1"/>
    <col min="10" max="10" width="9.7109375" style="0" customWidth="1"/>
    <col min="11" max="11" width="11.7109375" style="9" customWidth="1"/>
    <col min="12" max="12" width="9.7109375" style="22" customWidth="1"/>
    <col min="13" max="13" width="9.140625" style="22" customWidth="1"/>
    <col min="16" max="16" width="12.421875" style="0" bestFit="1" customWidth="1"/>
  </cols>
  <sheetData>
    <row r="1" spans="1:16" ht="32.25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3" s="4" customFormat="1" ht="27" customHeight="1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29" t="s">
        <v>217</v>
      </c>
      <c r="I2" s="30" t="s">
        <v>300</v>
      </c>
      <c r="J2" s="3" t="s">
        <v>5</v>
      </c>
      <c r="K2" s="8" t="s">
        <v>6</v>
      </c>
      <c r="L2" s="23" t="s">
        <v>179</v>
      </c>
      <c r="M2" s="23"/>
    </row>
    <row r="3" spans="1:15" ht="12.75">
      <c r="A3" t="s">
        <v>8</v>
      </c>
      <c r="B3" s="7" t="s">
        <v>9</v>
      </c>
      <c r="C3" s="1" t="s">
        <v>16</v>
      </c>
      <c r="D3">
        <v>180</v>
      </c>
      <c r="E3">
        <v>990</v>
      </c>
      <c r="F3" s="5">
        <f>0.5*D3*$P$8*E3*E3</f>
        <v>391.6600122098959</v>
      </c>
      <c r="G3" s="5">
        <f>D3*E3/1000</f>
        <v>178.2</v>
      </c>
      <c r="H3" s="9">
        <f aca="true" t="shared" si="0" ref="H3:H40">0.4*D3*E3/7000</f>
        <v>10.182857142857143</v>
      </c>
      <c r="I3" s="40">
        <f>E3/$P$7</f>
        <v>0.868421052631579</v>
      </c>
      <c r="J3">
        <v>88</v>
      </c>
      <c r="K3" s="9">
        <v>15.6</v>
      </c>
      <c r="O3" t="s">
        <v>19</v>
      </c>
    </row>
    <row r="4" spans="1:17" ht="12.75">
      <c r="A4" t="s">
        <v>8</v>
      </c>
      <c r="B4" s="7" t="s">
        <v>10</v>
      </c>
      <c r="C4" s="1" t="s">
        <v>16</v>
      </c>
      <c r="D4">
        <v>155</v>
      </c>
      <c r="E4">
        <v>1140</v>
      </c>
      <c r="F4" s="5">
        <f aca="true" t="shared" si="1" ref="F4:F16">0.5*D4*$P$8*E4*E4</f>
        <v>447.2061214815779</v>
      </c>
      <c r="G4" s="5">
        <f aca="true" t="shared" si="2" ref="G4:G16">D4*E4/1000</f>
        <v>176.7</v>
      </c>
      <c r="H4" s="9">
        <f t="shared" si="0"/>
        <v>10.097142857142858</v>
      </c>
      <c r="I4" s="40">
        <f aca="true" t="shared" si="3" ref="I4:I39">E4/$P$7</f>
        <v>1</v>
      </c>
      <c r="J4">
        <v>93</v>
      </c>
      <c r="K4" s="9">
        <v>13.3</v>
      </c>
      <c r="O4" t="s">
        <v>20</v>
      </c>
      <c r="P4">
        <v>0.0647989</v>
      </c>
      <c r="Q4" t="s">
        <v>21</v>
      </c>
    </row>
    <row r="5" spans="1:17" ht="12.75">
      <c r="A5" t="s">
        <v>8</v>
      </c>
      <c r="B5" s="7" t="s">
        <v>11</v>
      </c>
      <c r="C5" s="1" t="s">
        <v>16</v>
      </c>
      <c r="D5">
        <v>165</v>
      </c>
      <c r="E5">
        <v>980</v>
      </c>
      <c r="F5" s="5">
        <f t="shared" si="1"/>
        <v>351.80534579721666</v>
      </c>
      <c r="G5" s="5">
        <f t="shared" si="2"/>
        <v>161.7</v>
      </c>
      <c r="H5" s="9">
        <f t="shared" si="0"/>
        <v>9.24</v>
      </c>
      <c r="I5" s="40">
        <f t="shared" si="3"/>
        <v>0.8596491228070176</v>
      </c>
      <c r="J5">
        <v>83</v>
      </c>
      <c r="K5" s="9">
        <v>16.8</v>
      </c>
      <c r="O5" t="s">
        <v>22</v>
      </c>
      <c r="P5">
        <v>0.3048</v>
      </c>
      <c r="Q5" t="s">
        <v>23</v>
      </c>
    </row>
    <row r="6" spans="1:17" ht="12.75">
      <c r="A6" t="s">
        <v>8</v>
      </c>
      <c r="B6" s="7" t="s">
        <v>12</v>
      </c>
      <c r="C6" s="1" t="s">
        <v>17</v>
      </c>
      <c r="D6">
        <v>135</v>
      </c>
      <c r="E6">
        <v>1190</v>
      </c>
      <c r="F6" s="5">
        <f t="shared" si="1"/>
        <v>424.41823024979607</v>
      </c>
      <c r="G6" s="5">
        <f t="shared" si="2"/>
        <v>160.65</v>
      </c>
      <c r="H6" s="9">
        <f t="shared" si="0"/>
        <v>9.18</v>
      </c>
      <c r="I6" s="40">
        <f t="shared" si="3"/>
        <v>1.043859649122807</v>
      </c>
      <c r="O6" t="s">
        <v>24</v>
      </c>
      <c r="P6">
        <v>340</v>
      </c>
      <c r="Q6" t="s">
        <v>23</v>
      </c>
    </row>
    <row r="7" spans="1:17" ht="12.75">
      <c r="A7" t="s">
        <v>8</v>
      </c>
      <c r="B7" s="7" t="s">
        <v>13</v>
      </c>
      <c r="C7" s="1" t="s">
        <v>16</v>
      </c>
      <c r="D7">
        <v>135</v>
      </c>
      <c r="E7">
        <v>1190</v>
      </c>
      <c r="F7" s="5">
        <f t="shared" si="1"/>
        <v>424.41823024979607</v>
      </c>
      <c r="G7" s="5">
        <f t="shared" si="2"/>
        <v>160.65</v>
      </c>
      <c r="H7" s="9">
        <f t="shared" si="0"/>
        <v>9.18</v>
      </c>
      <c r="I7" s="40">
        <f t="shared" si="3"/>
        <v>1.043859649122807</v>
      </c>
      <c r="P7">
        <v>1140</v>
      </c>
      <c r="Q7" t="s">
        <v>25</v>
      </c>
    </row>
    <row r="8" spans="1:17" ht="12.75">
      <c r="A8" t="s">
        <v>8</v>
      </c>
      <c r="B8" s="7" t="s">
        <v>14</v>
      </c>
      <c r="C8" s="1" t="s">
        <v>18</v>
      </c>
      <c r="D8">
        <v>180</v>
      </c>
      <c r="E8">
        <v>990</v>
      </c>
      <c r="F8" s="5">
        <f t="shared" si="1"/>
        <v>391.6600122098959</v>
      </c>
      <c r="G8" s="5">
        <f t="shared" si="2"/>
        <v>178.2</v>
      </c>
      <c r="H8" s="9">
        <f t="shared" si="0"/>
        <v>10.182857142857143</v>
      </c>
      <c r="I8" s="40">
        <f t="shared" si="3"/>
        <v>0.868421052631579</v>
      </c>
      <c r="J8">
        <v>84</v>
      </c>
      <c r="K8" s="9">
        <v>13.1</v>
      </c>
      <c r="O8" t="s">
        <v>20</v>
      </c>
      <c r="P8">
        <f>1*0.00006479891/14.5939</f>
        <v>4.440136632428617E-06</v>
      </c>
      <c r="Q8" t="s">
        <v>28</v>
      </c>
    </row>
    <row r="9" spans="1:11" ht="12.75">
      <c r="A9" t="s">
        <v>8</v>
      </c>
      <c r="B9" s="7" t="s">
        <v>15</v>
      </c>
      <c r="C9" s="1" t="s">
        <v>18</v>
      </c>
      <c r="D9">
        <v>155</v>
      </c>
      <c r="E9">
        <v>1140</v>
      </c>
      <c r="F9" s="5">
        <f t="shared" si="1"/>
        <v>447.2061214815779</v>
      </c>
      <c r="G9" s="5">
        <f t="shared" si="2"/>
        <v>176.7</v>
      </c>
      <c r="H9" s="9">
        <f t="shared" si="0"/>
        <v>10.097142857142858</v>
      </c>
      <c r="I9" s="40">
        <f t="shared" si="3"/>
        <v>1</v>
      </c>
      <c r="J9">
        <v>89</v>
      </c>
      <c r="K9" s="9">
        <v>12</v>
      </c>
    </row>
    <row r="10" spans="1:11" ht="12.75">
      <c r="A10" t="s">
        <v>8</v>
      </c>
      <c r="B10" s="7"/>
      <c r="C10" s="1" t="s">
        <v>161</v>
      </c>
      <c r="D10">
        <v>135</v>
      </c>
      <c r="E10">
        <v>1095</v>
      </c>
      <c r="F10" s="5">
        <f t="shared" si="1"/>
        <v>359.3588507345963</v>
      </c>
      <c r="G10" s="5">
        <f t="shared" si="2"/>
        <v>147.825</v>
      </c>
      <c r="H10" s="9">
        <f t="shared" si="0"/>
        <v>8.447142857142858</v>
      </c>
      <c r="I10" s="40">
        <f t="shared" si="3"/>
        <v>0.9605263157894737</v>
      </c>
      <c r="J10">
        <v>85</v>
      </c>
      <c r="K10" s="9">
        <v>9.8</v>
      </c>
    </row>
    <row r="11" spans="1:11" ht="12.75">
      <c r="A11" t="s">
        <v>27</v>
      </c>
      <c r="B11" s="2" t="s">
        <v>33</v>
      </c>
      <c r="C11" s="1" t="s">
        <v>26</v>
      </c>
      <c r="D11">
        <v>180</v>
      </c>
      <c r="E11">
        <v>990</v>
      </c>
      <c r="F11" s="5">
        <f t="shared" si="1"/>
        <v>391.6600122098959</v>
      </c>
      <c r="G11" s="5">
        <f t="shared" si="2"/>
        <v>178.2</v>
      </c>
      <c r="H11" s="9">
        <f t="shared" si="0"/>
        <v>10.182857142857143</v>
      </c>
      <c r="I11" s="40">
        <f t="shared" si="3"/>
        <v>0.868421052631579</v>
      </c>
      <c r="J11">
        <v>71</v>
      </c>
      <c r="K11" s="9">
        <v>19.2</v>
      </c>
    </row>
    <row r="12" spans="1:12" ht="12.75">
      <c r="A12" t="s">
        <v>27</v>
      </c>
      <c r="B12" s="2" t="s">
        <v>32</v>
      </c>
      <c r="C12" s="1" t="s">
        <v>18</v>
      </c>
      <c r="D12">
        <v>180</v>
      </c>
      <c r="E12">
        <v>1010</v>
      </c>
      <c r="F12" s="5">
        <f t="shared" si="1"/>
        <v>407.6445040866389</v>
      </c>
      <c r="G12" s="5">
        <f t="shared" si="2"/>
        <v>181.8</v>
      </c>
      <c r="H12" s="9">
        <f t="shared" si="0"/>
        <v>10.388571428571428</v>
      </c>
      <c r="I12" s="40">
        <f t="shared" si="3"/>
        <v>0.8859649122807017</v>
      </c>
      <c r="J12">
        <v>83</v>
      </c>
      <c r="K12" s="9">
        <v>14.3</v>
      </c>
      <c r="L12" s="22">
        <f>11/50</f>
        <v>0.22</v>
      </c>
    </row>
    <row r="13" spans="1:11" ht="12.75">
      <c r="A13" t="s">
        <v>27</v>
      </c>
      <c r="B13" s="2" t="s">
        <v>31</v>
      </c>
      <c r="C13" s="1" t="s">
        <v>30</v>
      </c>
      <c r="D13">
        <v>155</v>
      </c>
      <c r="E13">
        <v>1205</v>
      </c>
      <c r="F13" s="5">
        <f t="shared" si="1"/>
        <v>499.6571780119176</v>
      </c>
      <c r="G13" s="5">
        <f t="shared" si="2"/>
        <v>186.775</v>
      </c>
      <c r="H13" s="9">
        <f t="shared" si="0"/>
        <v>10.672857142857143</v>
      </c>
      <c r="I13" s="40">
        <f t="shared" si="3"/>
        <v>1.0570175438596492</v>
      </c>
      <c r="J13">
        <v>88</v>
      </c>
      <c r="K13" s="9">
        <v>11.2</v>
      </c>
    </row>
    <row r="14" spans="1:9" ht="12.75">
      <c r="A14" t="s">
        <v>27</v>
      </c>
      <c r="B14" s="2" t="s">
        <v>35</v>
      </c>
      <c r="C14" t="s">
        <v>34</v>
      </c>
      <c r="D14">
        <v>180</v>
      </c>
      <c r="E14">
        <v>1010</v>
      </c>
      <c r="F14" s="5">
        <f t="shared" si="1"/>
        <v>407.6445040866389</v>
      </c>
      <c r="G14" s="5">
        <f t="shared" si="2"/>
        <v>181.8</v>
      </c>
      <c r="H14" s="9">
        <f t="shared" si="0"/>
        <v>10.388571428571428</v>
      </c>
      <c r="I14" s="40">
        <f t="shared" si="3"/>
        <v>0.8859649122807017</v>
      </c>
    </row>
    <row r="15" spans="1:9" ht="12.75">
      <c r="A15" t="s">
        <v>27</v>
      </c>
      <c r="B15" s="2" t="s">
        <v>36</v>
      </c>
      <c r="C15" t="s">
        <v>34</v>
      </c>
      <c r="D15">
        <v>165</v>
      </c>
      <c r="E15">
        <v>1130</v>
      </c>
      <c r="F15" s="5">
        <f t="shared" si="1"/>
        <v>467.7428634407184</v>
      </c>
      <c r="G15" s="5">
        <f t="shared" si="2"/>
        <v>186.45</v>
      </c>
      <c r="H15" s="9">
        <f t="shared" si="0"/>
        <v>10.654285714285715</v>
      </c>
      <c r="I15" s="40">
        <f t="shared" si="3"/>
        <v>0.9912280701754386</v>
      </c>
    </row>
    <row r="16" spans="1:12" ht="12.75">
      <c r="A16" t="s">
        <v>27</v>
      </c>
      <c r="B16" s="2" t="s">
        <v>313</v>
      </c>
      <c r="C16" s="1" t="s">
        <v>26</v>
      </c>
      <c r="D16">
        <v>165</v>
      </c>
      <c r="E16">
        <v>1130</v>
      </c>
      <c r="F16" s="5">
        <f t="shared" si="1"/>
        <v>467.7428634407184</v>
      </c>
      <c r="G16" s="5">
        <f t="shared" si="2"/>
        <v>186.45</v>
      </c>
      <c r="H16" s="9">
        <f t="shared" si="0"/>
        <v>10.654285714285715</v>
      </c>
      <c r="I16" s="40">
        <f t="shared" si="3"/>
        <v>0.9912280701754386</v>
      </c>
      <c r="L16" s="22">
        <f>15.97/100</f>
        <v>0.1597</v>
      </c>
    </row>
    <row r="17" spans="1:9" ht="12.75">
      <c r="A17" t="s">
        <v>37</v>
      </c>
      <c r="B17" s="2">
        <v>3590</v>
      </c>
      <c r="C17" s="1" t="s">
        <v>18</v>
      </c>
      <c r="D17">
        <v>180</v>
      </c>
      <c r="E17">
        <v>985</v>
      </c>
      <c r="F17" s="5">
        <f aca="true" t="shared" si="4" ref="F17:F45">0.5*D17*$P$8*E17*E17</f>
        <v>387.71384077782494</v>
      </c>
      <c r="G17" s="5">
        <f aca="true" t="shared" si="5" ref="G17:G45">D17*E17/1000</f>
        <v>177.3</v>
      </c>
      <c r="H17" s="9">
        <f t="shared" si="0"/>
        <v>10.131428571428572</v>
      </c>
      <c r="I17" s="40">
        <f t="shared" si="3"/>
        <v>0.8640350877192983</v>
      </c>
    </row>
    <row r="18" spans="1:11" ht="12.75">
      <c r="A18" t="s">
        <v>38</v>
      </c>
      <c r="B18" s="2">
        <v>23961</v>
      </c>
      <c r="C18" s="1" t="s">
        <v>39</v>
      </c>
      <c r="D18">
        <v>155</v>
      </c>
      <c r="E18">
        <v>1200</v>
      </c>
      <c r="F18" s="5">
        <f t="shared" si="4"/>
        <v>495.51924817903364</v>
      </c>
      <c r="G18" s="5">
        <f t="shared" si="5"/>
        <v>186</v>
      </c>
      <c r="H18" s="9">
        <f t="shared" si="0"/>
        <v>10.628571428571428</v>
      </c>
      <c r="I18" s="40">
        <f t="shared" si="3"/>
        <v>1.0526315789473684</v>
      </c>
      <c r="J18">
        <v>93</v>
      </c>
      <c r="K18" s="9">
        <v>14.2</v>
      </c>
    </row>
    <row r="19" spans="1:11" ht="12.75">
      <c r="A19" t="s">
        <v>38</v>
      </c>
      <c r="B19" s="2">
        <v>23962</v>
      </c>
      <c r="C19" s="1" t="s">
        <v>39</v>
      </c>
      <c r="D19">
        <v>180</v>
      </c>
      <c r="E19">
        <v>1025</v>
      </c>
      <c r="F19" s="5">
        <f t="shared" si="4"/>
        <v>419.84266945007846</v>
      </c>
      <c r="G19" s="5">
        <f t="shared" si="5"/>
        <v>184.5</v>
      </c>
      <c r="H19" s="9">
        <f t="shared" si="0"/>
        <v>10.542857142857143</v>
      </c>
      <c r="I19" s="40">
        <f t="shared" si="3"/>
        <v>0.8991228070175439</v>
      </c>
      <c r="J19">
        <v>86</v>
      </c>
      <c r="K19" s="9">
        <v>12.6</v>
      </c>
    </row>
    <row r="20" spans="1:9" ht="12.75">
      <c r="A20" t="s">
        <v>38</v>
      </c>
      <c r="B20" s="2">
        <v>23970</v>
      </c>
      <c r="C20" s="1" t="s">
        <v>39</v>
      </c>
      <c r="D20">
        <v>165</v>
      </c>
      <c r="E20">
        <v>1150</v>
      </c>
      <c r="F20" s="5">
        <f t="shared" si="4"/>
        <v>484.4466574519148</v>
      </c>
      <c r="G20" s="5">
        <f t="shared" si="5"/>
        <v>189.75</v>
      </c>
      <c r="H20" s="9">
        <f t="shared" si="0"/>
        <v>10.842857142857143</v>
      </c>
      <c r="I20" s="40">
        <f t="shared" si="3"/>
        <v>1.0087719298245614</v>
      </c>
    </row>
    <row r="21" spans="1:12" ht="12.75">
      <c r="A21" t="s">
        <v>40</v>
      </c>
      <c r="B21" s="2" t="s">
        <v>41</v>
      </c>
      <c r="C21" s="1" t="s">
        <v>18</v>
      </c>
      <c r="D21">
        <v>135</v>
      </c>
      <c r="E21">
        <v>1325</v>
      </c>
      <c r="F21" s="5">
        <f t="shared" si="4"/>
        <v>526.1770040832556</v>
      </c>
      <c r="G21" s="5">
        <f t="shared" si="5"/>
        <v>178.875</v>
      </c>
      <c r="H21" s="9">
        <f t="shared" si="0"/>
        <v>10.221428571428572</v>
      </c>
      <c r="I21" s="40">
        <f t="shared" si="3"/>
        <v>1.162280701754386</v>
      </c>
      <c r="J21">
        <v>89</v>
      </c>
      <c r="K21" s="9">
        <v>10.9</v>
      </c>
      <c r="L21" s="22">
        <f>16.49/20</f>
        <v>0.8244999999999999</v>
      </c>
    </row>
    <row r="22" spans="1:12" ht="12.75">
      <c r="A22" t="s">
        <v>40</v>
      </c>
      <c r="B22" s="2" t="s">
        <v>42</v>
      </c>
      <c r="C22" s="1" t="s">
        <v>18</v>
      </c>
      <c r="D22">
        <v>150</v>
      </c>
      <c r="E22">
        <v>1200</v>
      </c>
      <c r="F22" s="5">
        <f t="shared" si="4"/>
        <v>479.53475630229065</v>
      </c>
      <c r="G22" s="5">
        <f t="shared" si="5"/>
        <v>180</v>
      </c>
      <c r="H22" s="9">
        <f t="shared" si="0"/>
        <v>10.285714285714286</v>
      </c>
      <c r="I22" s="40">
        <f t="shared" si="3"/>
        <v>1.0526315789473684</v>
      </c>
      <c r="J22">
        <v>88</v>
      </c>
      <c r="K22" s="9">
        <v>11.3</v>
      </c>
      <c r="L22" s="22">
        <f>16.37/20</f>
        <v>0.8185</v>
      </c>
    </row>
    <row r="23" spans="1:12" ht="12.75">
      <c r="A23" t="s">
        <v>40</v>
      </c>
      <c r="B23" s="2" t="s">
        <v>43</v>
      </c>
      <c r="C23" s="1" t="s">
        <v>18</v>
      </c>
      <c r="D23">
        <v>165</v>
      </c>
      <c r="E23">
        <v>1150</v>
      </c>
      <c r="F23" s="5">
        <f t="shared" si="4"/>
        <v>484.4466574519148</v>
      </c>
      <c r="G23" s="5">
        <f t="shared" si="5"/>
        <v>189.75</v>
      </c>
      <c r="H23" s="9">
        <f t="shared" si="0"/>
        <v>10.842857142857143</v>
      </c>
      <c r="I23" s="40">
        <f t="shared" si="3"/>
        <v>1.0087719298245614</v>
      </c>
      <c r="J23">
        <v>86</v>
      </c>
      <c r="K23" s="9">
        <v>11.4</v>
      </c>
      <c r="L23" s="22">
        <f>17.27/20</f>
        <v>0.8634999999999999</v>
      </c>
    </row>
    <row r="24" spans="1:11" ht="12.75">
      <c r="A24" t="s">
        <v>44</v>
      </c>
      <c r="B24" t="s">
        <v>45</v>
      </c>
      <c r="C24" s="1" t="s">
        <v>18</v>
      </c>
      <c r="D24">
        <v>155</v>
      </c>
      <c r="E24">
        <v>1205</v>
      </c>
      <c r="F24" s="5">
        <f t="shared" si="4"/>
        <v>499.6571780119176</v>
      </c>
      <c r="G24" s="5">
        <f t="shared" si="5"/>
        <v>186.775</v>
      </c>
      <c r="H24" s="9">
        <f t="shared" si="0"/>
        <v>10.672857142857143</v>
      </c>
      <c r="I24" s="40">
        <f t="shared" si="3"/>
        <v>1.0570175438596492</v>
      </c>
      <c r="J24">
        <v>88</v>
      </c>
      <c r="K24" s="9">
        <v>12.9</v>
      </c>
    </row>
    <row r="25" spans="1:11" ht="12.75">
      <c r="A25" s="10" t="s">
        <v>44</v>
      </c>
      <c r="B25" s="10" t="s">
        <v>46</v>
      </c>
      <c r="C25" s="11" t="s">
        <v>50</v>
      </c>
      <c r="D25" s="10">
        <v>165</v>
      </c>
      <c r="E25" s="10">
        <v>1150</v>
      </c>
      <c r="F25" s="12">
        <f t="shared" si="4"/>
        <v>484.4466574519148</v>
      </c>
      <c r="G25" s="12">
        <f t="shared" si="5"/>
        <v>189.75</v>
      </c>
      <c r="H25" s="9">
        <f t="shared" si="0"/>
        <v>10.842857142857143</v>
      </c>
      <c r="I25" s="40">
        <f t="shared" si="3"/>
        <v>1.0087719298245614</v>
      </c>
      <c r="J25" s="10">
        <v>94</v>
      </c>
      <c r="K25" s="13">
        <v>13.9</v>
      </c>
    </row>
    <row r="26" spans="1:11" ht="12.75">
      <c r="A26" s="10" t="s">
        <v>44</v>
      </c>
      <c r="B26" s="10" t="s">
        <v>47</v>
      </c>
      <c r="C26" s="11" t="s">
        <v>18</v>
      </c>
      <c r="D26" s="10">
        <v>180</v>
      </c>
      <c r="E26" s="10">
        <v>1015</v>
      </c>
      <c r="F26" s="12">
        <f t="shared" si="4"/>
        <v>411.69057859293946</v>
      </c>
      <c r="G26" s="12">
        <f t="shared" si="5"/>
        <v>182.7</v>
      </c>
      <c r="H26" s="9">
        <f t="shared" si="0"/>
        <v>10.44</v>
      </c>
      <c r="I26" s="40">
        <f t="shared" si="3"/>
        <v>0.8903508771929824</v>
      </c>
      <c r="J26" s="10"/>
      <c r="K26" s="13"/>
    </row>
    <row r="27" spans="1:11" ht="12.75">
      <c r="A27" t="s">
        <v>44</v>
      </c>
      <c r="B27" t="s">
        <v>48</v>
      </c>
      <c r="C27" s="1" t="s">
        <v>50</v>
      </c>
      <c r="D27">
        <v>180</v>
      </c>
      <c r="E27">
        <v>1015</v>
      </c>
      <c r="F27" s="5">
        <f t="shared" si="4"/>
        <v>411.69057859293946</v>
      </c>
      <c r="G27" s="5">
        <f t="shared" si="5"/>
        <v>182.7</v>
      </c>
      <c r="H27" s="9">
        <f t="shared" si="0"/>
        <v>10.44</v>
      </c>
      <c r="I27" s="40">
        <f t="shared" si="3"/>
        <v>0.8903508771929824</v>
      </c>
      <c r="J27">
        <v>86</v>
      </c>
      <c r="K27" s="9">
        <v>12.7</v>
      </c>
    </row>
    <row r="28" spans="1:12" ht="12.75">
      <c r="A28" t="s">
        <v>44</v>
      </c>
      <c r="B28" t="s">
        <v>49</v>
      </c>
      <c r="C28" s="1" t="s">
        <v>18</v>
      </c>
      <c r="D28">
        <v>180</v>
      </c>
      <c r="E28">
        <v>1015</v>
      </c>
      <c r="F28" s="5">
        <f t="shared" si="4"/>
        <v>411.69057859293946</v>
      </c>
      <c r="G28" s="5">
        <f t="shared" si="5"/>
        <v>182.7</v>
      </c>
      <c r="H28" s="9">
        <f t="shared" si="0"/>
        <v>10.44</v>
      </c>
      <c r="I28" s="40">
        <f t="shared" si="3"/>
        <v>0.8903508771929824</v>
      </c>
      <c r="L28" s="22">
        <f>19.93*1.06/100</f>
        <v>0.21125800000000003</v>
      </c>
    </row>
    <row r="29" spans="1:9" ht="12.75">
      <c r="A29" t="s">
        <v>51</v>
      </c>
      <c r="B29" t="s">
        <v>52</v>
      </c>
      <c r="C29" s="1" t="s">
        <v>18</v>
      </c>
      <c r="D29">
        <v>156</v>
      </c>
      <c r="E29">
        <v>1040</v>
      </c>
      <c r="F29" s="5">
        <f t="shared" si="4"/>
        <v>374.59123896751385</v>
      </c>
      <c r="G29" s="5">
        <f t="shared" si="5"/>
        <v>162.24</v>
      </c>
      <c r="H29" s="9">
        <f t="shared" si="0"/>
        <v>9.270857142857144</v>
      </c>
      <c r="I29" s="40">
        <f t="shared" si="3"/>
        <v>0.9122807017543859</v>
      </c>
    </row>
    <row r="30" spans="1:9" ht="12.75">
      <c r="A30" t="s">
        <v>51</v>
      </c>
      <c r="B30" t="s">
        <v>53</v>
      </c>
      <c r="C30" s="1" t="s">
        <v>26</v>
      </c>
      <c r="D30">
        <v>165</v>
      </c>
      <c r="E30">
        <v>985</v>
      </c>
      <c r="F30" s="5">
        <f t="shared" si="4"/>
        <v>355.40435404633956</v>
      </c>
      <c r="G30" s="5">
        <f t="shared" si="5"/>
        <v>162.525</v>
      </c>
      <c r="H30" s="9">
        <f t="shared" si="0"/>
        <v>9.287142857142857</v>
      </c>
      <c r="I30" s="40">
        <f t="shared" si="3"/>
        <v>0.8640350877192983</v>
      </c>
    </row>
    <row r="31" spans="1:11" ht="12.75">
      <c r="A31" t="s">
        <v>51</v>
      </c>
      <c r="B31" t="s">
        <v>54</v>
      </c>
      <c r="C31" s="1" t="s">
        <v>56</v>
      </c>
      <c r="D31">
        <v>180</v>
      </c>
      <c r="E31">
        <v>985</v>
      </c>
      <c r="F31" s="5">
        <f t="shared" si="4"/>
        <v>387.71384077782494</v>
      </c>
      <c r="G31" s="5">
        <f t="shared" si="5"/>
        <v>177.3</v>
      </c>
      <c r="H31" s="9">
        <f t="shared" si="0"/>
        <v>10.131428571428572</v>
      </c>
      <c r="I31" s="40">
        <f t="shared" si="3"/>
        <v>0.8640350877192983</v>
      </c>
      <c r="J31">
        <v>84</v>
      </c>
      <c r="K31" s="9">
        <v>14.2</v>
      </c>
    </row>
    <row r="32" spans="1:11" ht="12.75">
      <c r="A32" t="s">
        <v>51</v>
      </c>
      <c r="B32" t="s">
        <v>55</v>
      </c>
      <c r="C32" s="1" t="s">
        <v>56</v>
      </c>
      <c r="D32">
        <v>155</v>
      </c>
      <c r="E32">
        <v>1160</v>
      </c>
      <c r="F32" s="5">
        <f t="shared" si="4"/>
        <v>463.0352085761859</v>
      </c>
      <c r="G32" s="5">
        <f t="shared" si="5"/>
        <v>179.8</v>
      </c>
      <c r="H32" s="9">
        <f t="shared" si="0"/>
        <v>10.274285714285714</v>
      </c>
      <c r="I32" s="40">
        <f t="shared" si="3"/>
        <v>1.0175438596491229</v>
      </c>
      <c r="J32">
        <v>86</v>
      </c>
      <c r="K32" s="9">
        <v>13.9</v>
      </c>
    </row>
    <row r="33" spans="1:12" ht="12.75">
      <c r="A33" t="s">
        <v>57</v>
      </c>
      <c r="B33" t="s">
        <v>58</v>
      </c>
      <c r="C33" s="1" t="s">
        <v>60</v>
      </c>
      <c r="D33">
        <v>135</v>
      </c>
      <c r="E33">
        <v>1325</v>
      </c>
      <c r="F33" s="5">
        <f t="shared" si="4"/>
        <v>526.1770040832556</v>
      </c>
      <c r="G33" s="5">
        <f t="shared" si="5"/>
        <v>178.875</v>
      </c>
      <c r="H33" s="9">
        <f t="shared" si="0"/>
        <v>10.221428571428572</v>
      </c>
      <c r="I33" s="40">
        <f t="shared" si="3"/>
        <v>1.162280701754386</v>
      </c>
      <c r="K33" s="9">
        <v>10.25</v>
      </c>
      <c r="L33" s="22">
        <f>37.96/100</f>
        <v>0.3796</v>
      </c>
    </row>
    <row r="34" spans="1:12" ht="12.75">
      <c r="A34" s="10" t="s">
        <v>57</v>
      </c>
      <c r="B34" s="10" t="s">
        <v>59</v>
      </c>
      <c r="C34" s="11" t="s">
        <v>60</v>
      </c>
      <c r="D34" s="10">
        <v>155</v>
      </c>
      <c r="E34" s="10">
        <v>1250</v>
      </c>
      <c r="F34" s="12">
        <f t="shared" si="4"/>
        <v>537.6727953331529</v>
      </c>
      <c r="G34" s="12">
        <f t="shared" si="5"/>
        <v>193.75</v>
      </c>
      <c r="H34" s="9">
        <f t="shared" si="0"/>
        <v>11.071428571428571</v>
      </c>
      <c r="I34" s="40">
        <f t="shared" si="3"/>
        <v>1.0964912280701755</v>
      </c>
      <c r="J34" s="14"/>
      <c r="K34" s="15" t="s">
        <v>180</v>
      </c>
      <c r="L34" s="22">
        <f>37.96/100</f>
        <v>0.3796</v>
      </c>
    </row>
    <row r="35" spans="1:9" ht="12.75">
      <c r="A35" s="10" t="s">
        <v>154</v>
      </c>
      <c r="B35" s="10" t="s">
        <v>155</v>
      </c>
      <c r="C35" s="11" t="s">
        <v>18</v>
      </c>
      <c r="D35" s="10">
        <v>155</v>
      </c>
      <c r="E35" s="10">
        <v>1024</v>
      </c>
      <c r="F35" s="5">
        <f t="shared" si="4"/>
        <v>360.8261049851239</v>
      </c>
      <c r="G35" s="5">
        <f t="shared" si="5"/>
        <v>158.72</v>
      </c>
      <c r="H35" s="9">
        <f t="shared" si="0"/>
        <v>9.069714285714285</v>
      </c>
      <c r="I35" s="40">
        <f t="shared" si="3"/>
        <v>0.8982456140350877</v>
      </c>
    </row>
    <row r="36" spans="1:9" ht="12.75">
      <c r="A36" s="10" t="s">
        <v>154</v>
      </c>
      <c r="B36" s="10" t="s">
        <v>156</v>
      </c>
      <c r="C36" s="11" t="s">
        <v>18</v>
      </c>
      <c r="D36" s="10">
        <v>180</v>
      </c>
      <c r="E36" s="10">
        <v>990</v>
      </c>
      <c r="F36" s="5">
        <f t="shared" si="4"/>
        <v>391.6600122098959</v>
      </c>
      <c r="G36" s="5">
        <f t="shared" si="5"/>
        <v>178.2</v>
      </c>
      <c r="H36" s="9">
        <f t="shared" si="0"/>
        <v>10.182857142857143</v>
      </c>
      <c r="I36" s="40">
        <f t="shared" si="3"/>
        <v>0.868421052631579</v>
      </c>
    </row>
    <row r="37" spans="1:12" ht="12.75">
      <c r="A37" s="10" t="s">
        <v>162</v>
      </c>
      <c r="C37" s="11" t="s">
        <v>163</v>
      </c>
      <c r="D37" s="10">
        <v>77</v>
      </c>
      <c r="E37" s="10">
        <v>2100</v>
      </c>
      <c r="F37" s="5">
        <f t="shared" si="4"/>
        <v>753.8685981368928</v>
      </c>
      <c r="G37" s="5">
        <f t="shared" si="5"/>
        <v>161.7</v>
      </c>
      <c r="H37" s="9">
        <f t="shared" si="0"/>
        <v>9.24</v>
      </c>
      <c r="I37" s="40">
        <f t="shared" si="3"/>
        <v>1.8421052631578947</v>
      </c>
      <c r="J37" s="10">
        <v>95</v>
      </c>
      <c r="K37" s="9">
        <v>7</v>
      </c>
      <c r="L37" s="22">
        <f>(34.99+7)/20</f>
        <v>2.0995</v>
      </c>
    </row>
    <row r="38" spans="1:12" ht="12.75">
      <c r="A38" s="10" t="s">
        <v>162</v>
      </c>
      <c r="C38" s="11" t="s">
        <v>163</v>
      </c>
      <c r="D38" s="10">
        <v>165</v>
      </c>
      <c r="E38" s="10">
        <v>1125</v>
      </c>
      <c r="F38" s="5">
        <f t="shared" si="4"/>
        <v>463.61270384694114</v>
      </c>
      <c r="G38" s="5">
        <f t="shared" si="5"/>
        <v>185.625</v>
      </c>
      <c r="H38" s="9">
        <f t="shared" si="0"/>
        <v>10.607142857142858</v>
      </c>
      <c r="I38" s="40">
        <f t="shared" si="3"/>
        <v>0.9868421052631579</v>
      </c>
      <c r="L38" s="22">
        <f>(34.99+7)/20</f>
        <v>2.0995</v>
      </c>
    </row>
    <row r="39" spans="1:12" ht="12.75">
      <c r="A39" s="10" t="s">
        <v>181</v>
      </c>
      <c r="B39">
        <v>9132</v>
      </c>
      <c r="C39" s="11" t="s">
        <v>182</v>
      </c>
      <c r="D39" s="10">
        <v>155</v>
      </c>
      <c r="E39" s="10">
        <v>1180</v>
      </c>
      <c r="F39" s="5">
        <f t="shared" si="4"/>
        <v>479.1395841420045</v>
      </c>
      <c r="G39" s="5">
        <f t="shared" si="5"/>
        <v>182.9</v>
      </c>
      <c r="H39" s="9">
        <f t="shared" si="0"/>
        <v>10.451428571428572</v>
      </c>
      <c r="I39" s="40">
        <f t="shared" si="3"/>
        <v>1.0350877192982457</v>
      </c>
      <c r="L39" s="22">
        <f>15.34/20</f>
        <v>0.767</v>
      </c>
    </row>
    <row r="40" spans="1:12" ht="12.75">
      <c r="A40" s="10" t="s">
        <v>181</v>
      </c>
      <c r="B40">
        <v>9136</v>
      </c>
      <c r="C40" s="11" t="s">
        <v>182</v>
      </c>
      <c r="D40" s="10">
        <v>180</v>
      </c>
      <c r="E40" s="10">
        <v>950</v>
      </c>
      <c r="F40" s="5">
        <f t="shared" si="4"/>
        <v>360.6500979690144</v>
      </c>
      <c r="G40" s="5">
        <f t="shared" si="5"/>
        <v>171</v>
      </c>
      <c r="H40" s="9">
        <f t="shared" si="0"/>
        <v>9.771428571428572</v>
      </c>
      <c r="I40" s="40">
        <f>E40/$P$7</f>
        <v>0.8333333333333334</v>
      </c>
      <c r="L40" s="22">
        <f>15.34/20</f>
        <v>0.767</v>
      </c>
    </row>
    <row r="41" ht="12.75">
      <c r="I41" s="40"/>
    </row>
    <row r="42" spans="1:9" ht="12.75">
      <c r="A42" s="26" t="s">
        <v>215</v>
      </c>
      <c r="I42" s="40"/>
    </row>
    <row r="43" spans="1:13" ht="12.75">
      <c r="A43" t="s">
        <v>216</v>
      </c>
      <c r="C43" s="11" t="s">
        <v>26</v>
      </c>
      <c r="D43">
        <v>180</v>
      </c>
      <c r="E43">
        <v>990</v>
      </c>
      <c r="F43" s="5">
        <f t="shared" si="4"/>
        <v>391.6600122098959</v>
      </c>
      <c r="G43" s="5">
        <f t="shared" si="5"/>
        <v>178.2</v>
      </c>
      <c r="H43" s="9">
        <f>0.4*D43*E43/7000</f>
        <v>10.182857142857143</v>
      </c>
      <c r="I43" s="40">
        <f>E43/$P$7</f>
        <v>0.868421052631579</v>
      </c>
      <c r="L43" s="22">
        <f>8.99/50</f>
        <v>0.17980000000000002</v>
      </c>
      <c r="M43" s="22">
        <f>12/50</f>
        <v>0.24</v>
      </c>
    </row>
    <row r="44" spans="1:12" ht="12.75">
      <c r="A44" t="s">
        <v>306</v>
      </c>
      <c r="C44" s="11" t="s">
        <v>26</v>
      </c>
      <c r="D44">
        <v>180</v>
      </c>
      <c r="F44" s="5">
        <f t="shared" si="4"/>
        <v>0</v>
      </c>
      <c r="G44" s="5">
        <f t="shared" si="5"/>
        <v>0</v>
      </c>
      <c r="L44" s="22">
        <f>(135+20)/1000</f>
        <v>0.155</v>
      </c>
    </row>
    <row r="45" spans="1:13" ht="12.75">
      <c r="A45" t="s">
        <v>154</v>
      </c>
      <c r="C45" s="11" t="s">
        <v>26</v>
      </c>
      <c r="D45">
        <v>165</v>
      </c>
      <c r="E45">
        <v>1050</v>
      </c>
      <c r="F45" s="5">
        <f t="shared" si="4"/>
        <v>403.8581775733354</v>
      </c>
      <c r="G45" s="5">
        <f t="shared" si="5"/>
        <v>173.25</v>
      </c>
      <c r="L45" s="22">
        <f>173.98/1000</f>
        <v>0.17398</v>
      </c>
      <c r="M45" s="22">
        <f>(10.47+5.99)/50</f>
        <v>0.3292</v>
      </c>
    </row>
    <row r="46" spans="1:13" ht="12.75">
      <c r="A46" t="s">
        <v>309</v>
      </c>
      <c r="C46" s="11" t="s">
        <v>272</v>
      </c>
      <c r="D46">
        <v>180</v>
      </c>
      <c r="L46" s="22">
        <f>(8.97+3)/50</f>
        <v>0.2394</v>
      </c>
      <c r="M46" s="22">
        <f>15.96/50</f>
        <v>0.31920000000000004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I3" sqref="I3"/>
    </sheetView>
  </sheetViews>
  <sheetFormatPr defaultColWidth="9.140625" defaultRowHeight="12.75"/>
  <cols>
    <col min="1" max="1" width="11.8515625" style="0" customWidth="1"/>
    <col min="2" max="2" width="11.57421875" style="0" customWidth="1"/>
    <col min="8" max="10" width="9.140625" style="9" customWidth="1"/>
  </cols>
  <sheetData>
    <row r="1" spans="1:16" ht="33.75" customHeight="1">
      <c r="A1" s="41" t="s">
        <v>184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8"/>
      <c r="O1" s="28"/>
      <c r="P1" s="28"/>
    </row>
    <row r="2" spans="1:16" ht="27.75" customHeight="1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8" t="s">
        <v>217</v>
      </c>
      <c r="I2" s="8" t="s">
        <v>300</v>
      </c>
      <c r="J2" s="8" t="s">
        <v>259</v>
      </c>
      <c r="K2" s="3" t="s">
        <v>5</v>
      </c>
      <c r="L2" s="8" t="s">
        <v>6</v>
      </c>
      <c r="M2" s="23" t="s">
        <v>179</v>
      </c>
      <c r="N2" s="4"/>
      <c r="O2" s="4"/>
      <c r="P2" s="4"/>
    </row>
    <row r="3" spans="1:16" ht="12.75">
      <c r="A3" t="s">
        <v>8</v>
      </c>
      <c r="B3" t="s">
        <v>185</v>
      </c>
      <c r="C3" s="1" t="s">
        <v>16</v>
      </c>
      <c r="D3">
        <v>180</v>
      </c>
      <c r="E3">
        <v>1030</v>
      </c>
      <c r="F3" s="5">
        <f aca="true" t="shared" si="0" ref="F3:F16">0.5*D3*$Q$8*E3*E3</f>
        <v>423.9486858009168</v>
      </c>
      <c r="G3" s="5">
        <f aca="true" t="shared" si="1" ref="G3:G16">D3*E3/1000</f>
        <v>185.4</v>
      </c>
      <c r="H3" s="9">
        <f>0.4*D3*E3/7000</f>
        <v>10.594285714285714</v>
      </c>
      <c r="I3" s="40">
        <f>E3/$Q$7</f>
        <v>0.9035087719298246</v>
      </c>
      <c r="K3">
        <v>86</v>
      </c>
      <c r="L3" s="9">
        <v>12.9</v>
      </c>
      <c r="M3" s="22"/>
      <c r="P3" t="s">
        <v>19</v>
      </c>
    </row>
    <row r="4" spans="1:17" ht="12.75">
      <c r="A4" t="s">
        <v>8</v>
      </c>
      <c r="B4" t="s">
        <v>186</v>
      </c>
      <c r="C4" s="1" t="s">
        <v>18</v>
      </c>
      <c r="D4">
        <v>180</v>
      </c>
      <c r="E4">
        <v>1030</v>
      </c>
      <c r="F4" s="5">
        <f t="shared" si="0"/>
        <v>423.9486858009168</v>
      </c>
      <c r="G4" s="5">
        <f t="shared" si="1"/>
        <v>185.4</v>
      </c>
      <c r="H4" s="9">
        <f aca="true" t="shared" si="2" ref="H4:H16">0.4*D4*E4/7000</f>
        <v>10.594285714285714</v>
      </c>
      <c r="I4" s="40">
        <f aca="true" t="shared" si="3" ref="I4:I16">E4/$Q$7</f>
        <v>0.9035087719298246</v>
      </c>
      <c r="K4">
        <v>84</v>
      </c>
      <c r="L4" s="9">
        <v>13.4</v>
      </c>
      <c r="M4" s="22"/>
      <c r="P4" t="s">
        <v>20</v>
      </c>
      <c r="Q4">
        <v>0.0647989</v>
      </c>
    </row>
    <row r="5" spans="1:17" ht="12.75">
      <c r="A5" t="s">
        <v>187</v>
      </c>
      <c r="B5" s="7" t="s">
        <v>188</v>
      </c>
      <c r="C5" s="1" t="s">
        <v>189</v>
      </c>
      <c r="D5">
        <v>180</v>
      </c>
      <c r="E5">
        <v>1150</v>
      </c>
      <c r="F5" s="5">
        <f t="shared" si="0"/>
        <v>528.4872626748162</v>
      </c>
      <c r="G5" s="5">
        <f t="shared" si="1"/>
        <v>207</v>
      </c>
      <c r="H5" s="9">
        <f t="shared" si="2"/>
        <v>11.82857142857143</v>
      </c>
      <c r="I5" s="40">
        <f t="shared" si="3"/>
        <v>1.0087719298245614</v>
      </c>
      <c r="L5" s="9"/>
      <c r="M5" s="22"/>
      <c r="P5" t="s">
        <v>22</v>
      </c>
      <c r="Q5">
        <v>0.3048</v>
      </c>
    </row>
    <row r="6" spans="1:17" ht="12.75">
      <c r="A6" t="s">
        <v>27</v>
      </c>
      <c r="B6" t="s">
        <v>190</v>
      </c>
      <c r="C6" s="1" t="s">
        <v>30</v>
      </c>
      <c r="D6">
        <v>175</v>
      </c>
      <c r="E6">
        <v>1290</v>
      </c>
      <c r="F6" s="5">
        <f t="shared" si="0"/>
        <v>646.5227448771404</v>
      </c>
      <c r="G6" s="5">
        <f t="shared" si="1"/>
        <v>225.75</v>
      </c>
      <c r="H6" s="9">
        <f t="shared" si="2"/>
        <v>12.9</v>
      </c>
      <c r="I6" s="40">
        <f t="shared" si="3"/>
        <v>1.131578947368421</v>
      </c>
      <c r="K6">
        <v>88</v>
      </c>
      <c r="L6" s="9">
        <v>10.8</v>
      </c>
      <c r="M6" s="22"/>
      <c r="P6" t="s">
        <v>24</v>
      </c>
      <c r="Q6">
        <v>340</v>
      </c>
    </row>
    <row r="7" spans="1:17" ht="12.75">
      <c r="A7" t="s">
        <v>51</v>
      </c>
      <c r="B7" s="7" t="s">
        <v>191</v>
      </c>
      <c r="C7" s="1" t="s">
        <v>18</v>
      </c>
      <c r="D7">
        <v>170</v>
      </c>
      <c r="E7">
        <v>1200</v>
      </c>
      <c r="F7" s="5">
        <f t="shared" si="0"/>
        <v>543.4727238092628</v>
      </c>
      <c r="G7" s="5">
        <f t="shared" si="1"/>
        <v>204</v>
      </c>
      <c r="H7" s="9">
        <f t="shared" si="2"/>
        <v>11.657142857142857</v>
      </c>
      <c r="I7" s="40">
        <f t="shared" si="3"/>
        <v>1.0526315789473684</v>
      </c>
      <c r="L7" s="9"/>
      <c r="M7" s="22"/>
      <c r="Q7">
        <v>1140</v>
      </c>
    </row>
    <row r="8" spans="1:17" ht="12.75">
      <c r="A8" t="s">
        <v>51</v>
      </c>
      <c r="B8" s="7" t="s">
        <v>193</v>
      </c>
      <c r="C8" s="1" t="s">
        <v>192</v>
      </c>
      <c r="D8">
        <v>180</v>
      </c>
      <c r="E8">
        <v>950</v>
      </c>
      <c r="F8" s="5">
        <f t="shared" si="0"/>
        <v>360.6500979690144</v>
      </c>
      <c r="G8" s="5">
        <f t="shared" si="1"/>
        <v>171</v>
      </c>
      <c r="H8" s="9">
        <f t="shared" si="2"/>
        <v>9.771428571428572</v>
      </c>
      <c r="I8" s="40">
        <f t="shared" si="3"/>
        <v>0.8333333333333334</v>
      </c>
      <c r="L8" s="9"/>
      <c r="M8" s="22"/>
      <c r="P8" t="s">
        <v>20</v>
      </c>
      <c r="Q8">
        <f>1*0.00006479891/14.5939</f>
        <v>4.440136632428617E-06</v>
      </c>
    </row>
    <row r="9" spans="1:13" ht="12.75">
      <c r="A9" t="s">
        <v>40</v>
      </c>
      <c r="B9" s="7" t="s">
        <v>194</v>
      </c>
      <c r="C9" s="1" t="s">
        <v>18</v>
      </c>
      <c r="D9">
        <v>135</v>
      </c>
      <c r="E9">
        <v>1400</v>
      </c>
      <c r="F9" s="5">
        <f t="shared" si="0"/>
        <v>587.4300764703061</v>
      </c>
      <c r="G9" s="5">
        <f t="shared" si="1"/>
        <v>189</v>
      </c>
      <c r="H9" s="9">
        <f t="shared" si="2"/>
        <v>10.8</v>
      </c>
      <c r="I9" s="40">
        <f t="shared" si="3"/>
        <v>1.2280701754385965</v>
      </c>
      <c r="L9" s="9"/>
      <c r="M9" s="22">
        <f>17.7/20</f>
        <v>0.885</v>
      </c>
    </row>
    <row r="10" spans="1:13" ht="12.75">
      <c r="A10" t="s">
        <v>40</v>
      </c>
      <c r="B10" s="7" t="s">
        <v>195</v>
      </c>
      <c r="C10" s="1" t="s">
        <v>18</v>
      </c>
      <c r="D10">
        <v>150</v>
      </c>
      <c r="E10">
        <v>1325</v>
      </c>
      <c r="F10" s="5">
        <f t="shared" si="0"/>
        <v>584.6411156480618</v>
      </c>
      <c r="G10" s="5">
        <f t="shared" si="1"/>
        <v>198.75</v>
      </c>
      <c r="H10" s="9">
        <f t="shared" si="2"/>
        <v>11.357142857142858</v>
      </c>
      <c r="I10" s="40">
        <f t="shared" si="3"/>
        <v>1.162280701754386</v>
      </c>
      <c r="K10">
        <v>90</v>
      </c>
      <c r="L10" s="9">
        <v>11.1</v>
      </c>
      <c r="M10" s="22">
        <f>17.73/20</f>
        <v>0.8865000000000001</v>
      </c>
    </row>
    <row r="11" spans="1:13" ht="12.75">
      <c r="A11" t="s">
        <v>40</v>
      </c>
      <c r="B11" s="2" t="s">
        <v>196</v>
      </c>
      <c r="C11" s="1" t="s">
        <v>18</v>
      </c>
      <c r="D11">
        <v>165</v>
      </c>
      <c r="E11">
        <v>1250</v>
      </c>
      <c r="F11" s="5">
        <f t="shared" si="0"/>
        <v>572.3613627740015</v>
      </c>
      <c r="G11" s="5">
        <f t="shared" si="1"/>
        <v>206.25</v>
      </c>
      <c r="H11" s="9">
        <f t="shared" si="2"/>
        <v>11.785714285714286</v>
      </c>
      <c r="I11" s="40">
        <f t="shared" si="3"/>
        <v>1.0964912280701755</v>
      </c>
      <c r="L11" s="9"/>
      <c r="M11" s="22">
        <f>17.92/20</f>
        <v>0.8960000000000001</v>
      </c>
    </row>
    <row r="12" spans="1:13" ht="12.75">
      <c r="A12" t="s">
        <v>57</v>
      </c>
      <c r="B12" t="s">
        <v>197</v>
      </c>
      <c r="C12" s="2" t="s">
        <v>60</v>
      </c>
      <c r="D12">
        <v>155</v>
      </c>
      <c r="E12">
        <v>1400</v>
      </c>
      <c r="F12" s="5">
        <f t="shared" si="0"/>
        <v>674.4567544659069</v>
      </c>
      <c r="G12" s="5">
        <f t="shared" si="1"/>
        <v>217</v>
      </c>
      <c r="H12" s="9">
        <f t="shared" si="2"/>
        <v>12.4</v>
      </c>
      <c r="I12" s="40">
        <f t="shared" si="3"/>
        <v>1.2280701754385965</v>
      </c>
      <c r="L12" s="9"/>
      <c r="M12" s="22"/>
    </row>
    <row r="13" spans="1:13" ht="12.75">
      <c r="A13" t="s">
        <v>162</v>
      </c>
      <c r="B13" s="2"/>
      <c r="C13" s="1" t="s">
        <v>163</v>
      </c>
      <c r="D13">
        <v>77</v>
      </c>
      <c r="E13">
        <v>2420</v>
      </c>
      <c r="F13" s="5">
        <f t="shared" si="0"/>
        <v>1001.1238227049657</v>
      </c>
      <c r="G13" s="5">
        <f t="shared" si="1"/>
        <v>186.34</v>
      </c>
      <c r="H13" s="9">
        <f t="shared" si="2"/>
        <v>10.648</v>
      </c>
      <c r="I13" s="40">
        <f t="shared" si="3"/>
        <v>2.1228070175438596</v>
      </c>
      <c r="L13" s="9"/>
      <c r="M13" s="22"/>
    </row>
    <row r="14" spans="1:13" ht="12.75">
      <c r="A14" t="s">
        <v>181</v>
      </c>
      <c r="B14" s="2">
        <v>9122</v>
      </c>
      <c r="C14" s="1" t="s">
        <v>182</v>
      </c>
      <c r="D14">
        <v>155</v>
      </c>
      <c r="E14">
        <v>1265</v>
      </c>
      <c r="F14" s="5">
        <f t="shared" si="0"/>
        <v>550.6543673036765</v>
      </c>
      <c r="G14" s="5">
        <f t="shared" si="1"/>
        <v>196.075</v>
      </c>
      <c r="H14" s="9">
        <f t="shared" si="2"/>
        <v>11.204285714285714</v>
      </c>
      <c r="I14" s="40">
        <f t="shared" si="3"/>
        <v>1.1096491228070176</v>
      </c>
      <c r="L14" s="9"/>
      <c r="M14" s="22">
        <f>15.34/20</f>
        <v>0.767</v>
      </c>
    </row>
    <row r="15" spans="1:13" ht="12.75">
      <c r="A15" t="s">
        <v>181</v>
      </c>
      <c r="B15" s="2">
        <v>9126</v>
      </c>
      <c r="C15" s="1" t="s">
        <v>182</v>
      </c>
      <c r="D15">
        <v>180</v>
      </c>
      <c r="E15">
        <v>1180</v>
      </c>
      <c r="F15" s="5">
        <f t="shared" si="0"/>
        <v>556.4201622294246</v>
      </c>
      <c r="G15" s="5">
        <f t="shared" si="1"/>
        <v>212.4</v>
      </c>
      <c r="H15" s="9">
        <f t="shared" si="2"/>
        <v>12.137142857142857</v>
      </c>
      <c r="I15" s="40">
        <f t="shared" si="3"/>
        <v>1.0350877192982457</v>
      </c>
      <c r="L15" s="9"/>
      <c r="M15" s="22">
        <f>15.34/20</f>
        <v>0.767</v>
      </c>
    </row>
    <row r="16" spans="1:13" ht="12.75">
      <c r="A16" t="s">
        <v>181</v>
      </c>
      <c r="B16" s="2">
        <v>9129</v>
      </c>
      <c r="C16" s="1" t="s">
        <v>182</v>
      </c>
      <c r="D16">
        <v>200</v>
      </c>
      <c r="E16">
        <v>1050</v>
      </c>
      <c r="F16" s="5">
        <f t="shared" si="0"/>
        <v>489.52506372525505</v>
      </c>
      <c r="G16" s="5">
        <f t="shared" si="1"/>
        <v>210</v>
      </c>
      <c r="H16" s="9">
        <f t="shared" si="2"/>
        <v>12</v>
      </c>
      <c r="I16" s="40">
        <f t="shared" si="3"/>
        <v>0.9210526315789473</v>
      </c>
      <c r="L16" s="9"/>
      <c r="M16" s="22">
        <f>15.34/20</f>
        <v>0.767</v>
      </c>
    </row>
    <row r="17" spans="2:13" ht="12.75">
      <c r="B17" s="2"/>
      <c r="C17" s="1"/>
      <c r="F17" s="5"/>
      <c r="G17" s="5"/>
      <c r="L17" s="9"/>
      <c r="M17" s="22"/>
    </row>
    <row r="18" spans="2:13" ht="12.75">
      <c r="B18" s="2"/>
      <c r="C18" s="1"/>
      <c r="F18" s="5"/>
      <c r="G18" s="5"/>
      <c r="L18" s="9"/>
      <c r="M18" s="22"/>
    </row>
    <row r="19" spans="2:13" ht="12.75">
      <c r="B19" s="2"/>
      <c r="C19" s="1"/>
      <c r="F19" s="5"/>
      <c r="G19" s="5"/>
      <c r="L19" s="9"/>
      <c r="M19" s="22"/>
    </row>
    <row r="20" spans="2:13" ht="12.75">
      <c r="B20" s="2"/>
      <c r="C20" s="1"/>
      <c r="F20" s="5"/>
      <c r="G20" s="5"/>
      <c r="L20" s="9"/>
      <c r="M20" s="22"/>
    </row>
    <row r="21" spans="2:13" ht="12.75">
      <c r="B21" s="2"/>
      <c r="C21" s="1"/>
      <c r="F21" s="5"/>
      <c r="G21" s="5"/>
      <c r="L21" s="9"/>
      <c r="M21" s="22"/>
    </row>
    <row r="22" spans="2:13" ht="12.75">
      <c r="B22" s="2"/>
      <c r="C22" s="1"/>
      <c r="F22" s="5"/>
      <c r="G22" s="5"/>
      <c r="L22" s="9"/>
      <c r="M22" s="22"/>
    </row>
    <row r="23" spans="3:13" ht="12.75">
      <c r="C23" s="1"/>
      <c r="F23" s="5"/>
      <c r="G23" s="5"/>
      <c r="L23" s="9"/>
      <c r="M23" s="22"/>
    </row>
    <row r="24" spans="1:13" ht="12.75">
      <c r="A24" s="10"/>
      <c r="B24" s="10"/>
      <c r="C24" s="11"/>
      <c r="D24" s="10"/>
      <c r="E24" s="10"/>
      <c r="F24" s="12"/>
      <c r="G24" s="12"/>
      <c r="H24" s="13"/>
      <c r="I24" s="13"/>
      <c r="J24" s="13"/>
      <c r="K24" s="10"/>
      <c r="L24" s="13"/>
      <c r="M24" s="22"/>
    </row>
    <row r="25" spans="1:13" ht="12.75">
      <c r="A25" s="10"/>
      <c r="B25" s="10"/>
      <c r="C25" s="11"/>
      <c r="D25" s="10"/>
      <c r="E25" s="10"/>
      <c r="F25" s="12"/>
      <c r="G25" s="12"/>
      <c r="H25" s="13"/>
      <c r="I25" s="13"/>
      <c r="J25" s="13"/>
      <c r="K25" s="10"/>
      <c r="L25" s="13"/>
      <c r="M25" s="22"/>
    </row>
    <row r="26" spans="3:13" ht="12.75">
      <c r="C26" s="1"/>
      <c r="F26" s="5"/>
      <c r="G26" s="5"/>
      <c r="L26" s="9"/>
      <c r="M26" s="22"/>
    </row>
    <row r="27" spans="3:13" ht="12.75">
      <c r="C27" s="1"/>
      <c r="F27" s="5"/>
      <c r="G27" s="5"/>
      <c r="L27" s="9"/>
      <c r="M27" s="22"/>
    </row>
    <row r="28" spans="3:13" ht="12.75">
      <c r="C28" s="1"/>
      <c r="F28" s="5"/>
      <c r="G28" s="5"/>
      <c r="L28" s="9"/>
      <c r="M28" s="22"/>
    </row>
    <row r="29" spans="3:13" ht="12.75">
      <c r="C29" s="1"/>
      <c r="E29" s="10"/>
      <c r="F29" s="12"/>
      <c r="G29" s="12"/>
      <c r="H29" s="13"/>
      <c r="I29" s="13"/>
      <c r="J29" s="13"/>
      <c r="K29" s="10"/>
      <c r="L29" s="9"/>
      <c r="M29" s="22"/>
    </row>
    <row r="30" spans="3:13" ht="12.75">
      <c r="C30" s="1"/>
      <c r="E30" s="10"/>
      <c r="F30" s="12"/>
      <c r="G30" s="12"/>
      <c r="H30" s="13"/>
      <c r="I30" s="13"/>
      <c r="J30" s="13"/>
      <c r="K30" s="10"/>
      <c r="L30" s="9"/>
      <c r="M30" s="22"/>
    </row>
    <row r="31" spans="3:13" ht="12.75">
      <c r="C31" s="1"/>
      <c r="E31" s="10"/>
      <c r="F31" s="12"/>
      <c r="G31" s="12"/>
      <c r="H31" s="13"/>
      <c r="I31" s="13"/>
      <c r="J31" s="13"/>
      <c r="K31" s="10"/>
      <c r="L31" s="9"/>
      <c r="M31" s="22"/>
    </row>
    <row r="32" spans="3:13" ht="12.75">
      <c r="C32" s="1"/>
      <c r="E32" s="10"/>
      <c r="F32" s="12"/>
      <c r="G32" s="12"/>
      <c r="H32" s="13"/>
      <c r="I32" s="13"/>
      <c r="J32" s="13"/>
      <c r="K32" s="10"/>
      <c r="L32" s="9"/>
      <c r="M32" s="22"/>
    </row>
    <row r="33" spans="1:13" ht="12.75">
      <c r="A33" s="10"/>
      <c r="B33" s="10"/>
      <c r="C33" s="11"/>
      <c r="D33" s="10"/>
      <c r="E33" s="10"/>
      <c r="F33" s="12"/>
      <c r="G33" s="12"/>
      <c r="H33" s="13"/>
      <c r="I33" s="13"/>
      <c r="J33" s="13"/>
      <c r="K33" s="14"/>
      <c r="L33" s="15"/>
      <c r="M33" s="22"/>
    </row>
    <row r="34" spans="1:13" ht="12.75">
      <c r="A34" s="10"/>
      <c r="B34" s="10"/>
      <c r="C34" s="11"/>
      <c r="D34" s="10"/>
      <c r="E34" s="10"/>
      <c r="F34" s="12"/>
      <c r="G34" s="12"/>
      <c r="H34" s="13"/>
      <c r="I34" s="13"/>
      <c r="J34" s="13"/>
      <c r="K34" s="10"/>
      <c r="L34" s="9"/>
      <c r="M34" s="22"/>
    </row>
    <row r="35" spans="1:13" ht="12.75">
      <c r="A35" s="10"/>
      <c r="B35" s="10"/>
      <c r="C35" s="11"/>
      <c r="D35" s="10"/>
      <c r="E35" s="10"/>
      <c r="F35" s="12"/>
      <c r="G35" s="12"/>
      <c r="H35" s="13"/>
      <c r="I35" s="13"/>
      <c r="J35" s="13"/>
      <c r="K35" s="10"/>
      <c r="L35" s="9"/>
      <c r="M35" s="22"/>
    </row>
    <row r="36" spans="1:13" ht="12.75">
      <c r="A36" s="10"/>
      <c r="C36" s="11"/>
      <c r="D36" s="10"/>
      <c r="E36" s="10"/>
      <c r="F36" s="12"/>
      <c r="G36" s="12"/>
      <c r="H36" s="13"/>
      <c r="I36" s="13"/>
      <c r="J36" s="13"/>
      <c r="K36" s="10"/>
      <c r="L36" s="9"/>
      <c r="M36" s="22"/>
    </row>
    <row r="37" spans="1:13" ht="12.75">
      <c r="A37" s="10"/>
      <c r="C37" s="11"/>
      <c r="D37" s="10"/>
      <c r="E37" s="10"/>
      <c r="F37" s="5"/>
      <c r="G37" s="5"/>
      <c r="L37" s="9"/>
      <c r="M37" s="22"/>
    </row>
    <row r="38" spans="1:13" ht="12.75">
      <c r="A38" s="10"/>
      <c r="C38" s="11"/>
      <c r="D38" s="10"/>
      <c r="E38" s="10"/>
      <c r="F38" s="5"/>
      <c r="G38" s="5"/>
      <c r="L38" s="9"/>
      <c r="M38" s="22"/>
    </row>
    <row r="39" spans="1:13" ht="12.75">
      <c r="A39" s="10"/>
      <c r="C39" s="11"/>
      <c r="D39" s="10"/>
      <c r="E39" s="10"/>
      <c r="F39" s="5"/>
      <c r="G39" s="5"/>
      <c r="L39" s="9"/>
      <c r="M39" s="22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" sqref="J1:J16384"/>
    </sheetView>
  </sheetViews>
  <sheetFormatPr defaultColWidth="9.140625" defaultRowHeight="12.75"/>
  <cols>
    <col min="8" max="9" width="9.140625" style="9" customWidth="1"/>
  </cols>
  <sheetData>
    <row r="1" spans="1:15" ht="37.5" customHeight="1">
      <c r="A1" s="28" t="s">
        <v>198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6.25" customHeight="1">
      <c r="A2" s="3" t="s">
        <v>29</v>
      </c>
      <c r="B2" s="3" t="s">
        <v>7</v>
      </c>
      <c r="C2" s="3" t="s">
        <v>0</v>
      </c>
      <c r="D2" s="3" t="s">
        <v>2</v>
      </c>
      <c r="E2" s="3" t="s">
        <v>3</v>
      </c>
      <c r="F2" s="6" t="s">
        <v>4</v>
      </c>
      <c r="G2" s="6" t="s">
        <v>1</v>
      </c>
      <c r="H2" s="8" t="s">
        <v>217</v>
      </c>
      <c r="I2" s="8" t="s">
        <v>300</v>
      </c>
      <c r="J2" s="3" t="s">
        <v>5</v>
      </c>
      <c r="K2" s="8" t="s">
        <v>6</v>
      </c>
      <c r="L2" s="23" t="s">
        <v>179</v>
      </c>
      <c r="M2" s="4"/>
      <c r="N2" s="4"/>
      <c r="O2" s="4"/>
    </row>
    <row r="3" spans="1:15" ht="12.75">
      <c r="A3" t="s">
        <v>181</v>
      </c>
      <c r="C3" s="1" t="s">
        <v>18</v>
      </c>
      <c r="D3">
        <v>135</v>
      </c>
      <c r="E3">
        <v>1800</v>
      </c>
      <c r="F3" s="5">
        <f>0.5*D3*$P$8*E3*E3</f>
        <v>971.0578815121386</v>
      </c>
      <c r="G3" s="5">
        <f>D3*E3/1000</f>
        <v>243</v>
      </c>
      <c r="H3" s="9">
        <f>0.4*D3*E3/7000</f>
        <v>13.885714285714286</v>
      </c>
      <c r="I3" s="40">
        <f>E3/$P$7</f>
        <v>1.5789473684210527</v>
      </c>
      <c r="J3">
        <v>97</v>
      </c>
      <c r="K3" s="9">
        <v>6.5</v>
      </c>
      <c r="L3" s="22"/>
      <c r="O3" t="s">
        <v>19</v>
      </c>
    </row>
    <row r="4" spans="1:16" ht="12.75">
      <c r="A4" t="s">
        <v>181</v>
      </c>
      <c r="C4" s="1" t="s">
        <v>18</v>
      </c>
      <c r="D4">
        <v>200</v>
      </c>
      <c r="E4">
        <v>1300</v>
      </c>
      <c r="F4" s="5">
        <f>0.5*D4*$P$8*E4*E4</f>
        <v>750.3830908804363</v>
      </c>
      <c r="G4" s="5">
        <f>D4*E4/1000</f>
        <v>260</v>
      </c>
      <c r="H4" s="9">
        <f>0.4*D4*E4/7000</f>
        <v>14.857142857142858</v>
      </c>
      <c r="I4" s="40">
        <f>E4/$P$7</f>
        <v>1.1403508771929824</v>
      </c>
      <c r="J4">
        <v>98</v>
      </c>
      <c r="K4" s="9">
        <v>10.6</v>
      </c>
      <c r="L4" s="22"/>
      <c r="O4" t="s">
        <v>20</v>
      </c>
      <c r="P4">
        <v>0.0647989</v>
      </c>
    </row>
    <row r="5" spans="1:16" ht="12.75">
      <c r="A5" t="s">
        <v>57</v>
      </c>
      <c r="B5" s="7"/>
      <c r="C5" s="1" t="s">
        <v>60</v>
      </c>
      <c r="D5">
        <v>135</v>
      </c>
      <c r="E5">
        <v>1250</v>
      </c>
      <c r="F5" s="5">
        <f>0.5*D5*$P$8*E5*E5</f>
        <v>468.2956604514557</v>
      </c>
      <c r="G5" s="5">
        <f>D5*E5/1000</f>
        <v>168.75</v>
      </c>
      <c r="H5" s="9">
        <f>0.4*D5*E5/7000</f>
        <v>9.642857142857142</v>
      </c>
      <c r="I5" s="40">
        <f>E5/$P$7</f>
        <v>1.0964912280701755</v>
      </c>
      <c r="J5">
        <v>91</v>
      </c>
      <c r="K5" s="9">
        <v>10.5</v>
      </c>
      <c r="L5" s="22"/>
      <c r="O5" t="s">
        <v>22</v>
      </c>
      <c r="P5">
        <v>0.3048</v>
      </c>
    </row>
    <row r="6" spans="1:16" ht="12.75">
      <c r="A6" t="s">
        <v>57</v>
      </c>
      <c r="C6" s="1" t="s">
        <v>60</v>
      </c>
      <c r="D6">
        <v>155</v>
      </c>
      <c r="E6">
        <v>1500</v>
      </c>
      <c r="F6" s="5">
        <f>0.5*D6*$P$8*E6*E6</f>
        <v>774.2488252797401</v>
      </c>
      <c r="G6" s="5">
        <f>D6*E6/1000</f>
        <v>232.5</v>
      </c>
      <c r="H6" s="9">
        <f>0.4*D6*E6/7000</f>
        <v>13.285714285714286</v>
      </c>
      <c r="I6" s="40">
        <f>E6/$P$7</f>
        <v>1.3157894736842106</v>
      </c>
      <c r="J6">
        <v>98</v>
      </c>
      <c r="K6" s="9">
        <v>10.3</v>
      </c>
      <c r="L6" s="22"/>
      <c r="O6" t="s">
        <v>24</v>
      </c>
      <c r="P6">
        <v>340</v>
      </c>
    </row>
    <row r="7" spans="2:16" ht="12.75">
      <c r="B7" s="7"/>
      <c r="C7" s="1"/>
      <c r="F7" s="5"/>
      <c r="G7" s="5"/>
      <c r="K7" s="9"/>
      <c r="L7" s="22"/>
      <c r="P7">
        <v>1140</v>
      </c>
    </row>
    <row r="8" spans="2:16" ht="12.75">
      <c r="B8" s="7"/>
      <c r="C8" s="1"/>
      <c r="F8" s="5"/>
      <c r="G8" s="5"/>
      <c r="K8" s="9"/>
      <c r="L8" s="22"/>
      <c r="O8" t="s">
        <v>20</v>
      </c>
      <c r="P8">
        <f>1*0.00006479891/14.5939</f>
        <v>4.440136632428617E-06</v>
      </c>
    </row>
    <row r="9" spans="2:12" ht="12.75">
      <c r="B9" s="7"/>
      <c r="C9" s="1"/>
      <c r="F9" s="5"/>
      <c r="G9" s="5"/>
      <c r="K9" s="9"/>
      <c r="L9" s="22"/>
    </row>
    <row r="10" spans="2:12" ht="12.75">
      <c r="B10" s="7"/>
      <c r="C10" s="1"/>
      <c r="F10" s="5"/>
      <c r="G10" s="5"/>
      <c r="K10" s="9"/>
      <c r="L10" s="22"/>
    </row>
    <row r="11" spans="2:12" ht="12.75">
      <c r="B11" s="2"/>
      <c r="C11" s="1"/>
      <c r="F11" s="5"/>
      <c r="G11" s="5"/>
      <c r="K11" s="9"/>
      <c r="L11" s="22"/>
    </row>
    <row r="12" spans="3:12" ht="12.75">
      <c r="C12" s="2"/>
      <c r="F12" s="5"/>
      <c r="G12" s="5"/>
      <c r="K12" s="9"/>
      <c r="L12" s="22"/>
    </row>
    <row r="13" spans="2:12" ht="12.75">
      <c r="B13" s="2"/>
      <c r="C13" s="1"/>
      <c r="F13" s="5"/>
      <c r="G13" s="5"/>
      <c r="K13" s="9"/>
      <c r="L13" s="22"/>
    </row>
    <row r="14" spans="2:12" ht="12.75">
      <c r="B14" s="2"/>
      <c r="C14" s="1"/>
      <c r="F14" s="5"/>
      <c r="G14" s="5"/>
      <c r="K14" s="9"/>
      <c r="L14" s="22"/>
    </row>
    <row r="15" spans="2:12" ht="12.75">
      <c r="B15" s="2"/>
      <c r="C15" s="1"/>
      <c r="F15" s="5"/>
      <c r="G15" s="5"/>
      <c r="K15" s="9"/>
      <c r="L15" s="22"/>
    </row>
    <row r="16" spans="2:12" ht="12.75">
      <c r="B16" s="2"/>
      <c r="C16" s="1"/>
      <c r="F16" s="5"/>
      <c r="G16" s="5"/>
      <c r="K16" s="9"/>
      <c r="L16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Ostrich Farms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Davis</dc:creator>
  <cp:keywords/>
  <dc:description/>
  <cp:lastModifiedBy>Mark Davis</cp:lastModifiedBy>
  <cp:lastPrinted>2005-10-23T16:00:08Z</cp:lastPrinted>
  <dcterms:created xsi:type="dcterms:W3CDTF">2005-08-19T19:31:10Z</dcterms:created>
  <dcterms:modified xsi:type="dcterms:W3CDTF">2006-01-30T18:10:22Z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